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renos\ЛОСКУТОВ\1 СЭР\прогноз на 2025\1-Район\2025\"/>
    </mc:Choice>
  </mc:AlternateContent>
  <bookViews>
    <workbookView xWindow="0" yWindow="0" windowWidth="28800" windowHeight="12135"/>
  </bookViews>
  <sheets>
    <sheet name="Форма" sheetId="1" r:id="rId1"/>
    <sheet name="Лист2" sheetId="2" r:id="rId2"/>
    <sheet name="Лист3" sheetId="3" r:id="rId3"/>
  </sheets>
  <definedNames>
    <definedName name="_xlnm.Print_Titles" localSheetId="0">Форма!$7:$10</definedName>
    <definedName name="_xlnm.Print_Area" localSheetId="0">Форма!$A$1:$K$109</definedName>
  </definedNames>
  <calcPr calcId="152511"/>
</workbook>
</file>

<file path=xl/calcChain.xml><?xml version="1.0" encoding="utf-8"?>
<calcChain xmlns="http://schemas.openxmlformats.org/spreadsheetml/2006/main">
  <c r="E102" i="1" l="1"/>
  <c r="E27" i="1"/>
  <c r="E23" i="1"/>
  <c r="D31" i="1" l="1"/>
  <c r="E57" i="1" l="1"/>
  <c r="K57" i="1"/>
  <c r="J57" i="1"/>
  <c r="I57" i="1"/>
  <c r="H57" i="1"/>
  <c r="G57" i="1"/>
  <c r="F57" i="1"/>
  <c r="F49" i="1" l="1"/>
  <c r="F50" i="1"/>
  <c r="F51" i="1"/>
  <c r="F52" i="1"/>
  <c r="F48" i="1"/>
  <c r="G94" i="1" l="1"/>
  <c r="F94" i="1"/>
  <c r="F90" i="1"/>
  <c r="E87" i="1"/>
  <c r="C82" i="1"/>
  <c r="C81" i="1" s="1"/>
  <c r="C87" i="1" s="1"/>
  <c r="D87" i="1"/>
  <c r="D96" i="1"/>
  <c r="E95" i="1"/>
  <c r="F95" i="1" s="1"/>
  <c r="E98" i="1"/>
  <c r="D99" i="1"/>
  <c r="E105" i="1"/>
  <c r="D106" i="1"/>
  <c r="D103" i="1"/>
  <c r="G78" i="1"/>
  <c r="I78" i="1" s="1"/>
  <c r="K78" i="1" s="1"/>
  <c r="F78" i="1"/>
  <c r="H78" i="1" s="1"/>
  <c r="J78" i="1" s="1"/>
  <c r="E78" i="1"/>
  <c r="E77" i="1"/>
  <c r="G77" i="1" s="1"/>
  <c r="I77" i="1" s="1"/>
  <c r="K77" i="1" s="1"/>
  <c r="F77" i="1" l="1"/>
  <c r="H77" i="1" s="1"/>
  <c r="J77" i="1" s="1"/>
  <c r="E70" i="1" l="1"/>
  <c r="F70" i="1" s="1"/>
  <c r="H70" i="1" s="1"/>
  <c r="J70" i="1" s="1"/>
  <c r="G70" i="1" l="1"/>
  <c r="I70" i="1" s="1"/>
  <c r="K70" i="1" s="1"/>
  <c r="E67" i="1" l="1"/>
  <c r="E68" i="1"/>
  <c r="E69" i="1"/>
  <c r="E65" i="1"/>
  <c r="E62" i="1"/>
  <c r="E61" i="1" l="1"/>
  <c r="D58" i="1"/>
  <c r="E42" i="1"/>
  <c r="D28" i="1"/>
  <c r="D24" i="1"/>
  <c r="G23" i="1" l="1"/>
  <c r="G100" i="1"/>
  <c r="I100" i="1" s="1"/>
  <c r="F100" i="1"/>
  <c r="H100" i="1" s="1"/>
  <c r="J100" i="1" s="1"/>
  <c r="F23" i="1" l="1"/>
  <c r="E21" i="1"/>
  <c r="D21" i="1"/>
  <c r="D93" i="1" l="1"/>
  <c r="C93" i="1"/>
  <c r="D91" i="1"/>
  <c r="C91" i="1"/>
  <c r="D79" i="1"/>
  <c r="D74" i="1"/>
  <c r="E74" i="1" s="1"/>
  <c r="D38" i="1"/>
  <c r="E38" i="1" s="1"/>
  <c r="D35" i="1"/>
  <c r="E35" i="1" s="1"/>
  <c r="E31" i="1"/>
  <c r="C21" i="1"/>
  <c r="D18" i="1"/>
  <c r="C18" i="1"/>
  <c r="G62" i="1" l="1"/>
  <c r="I62" i="1" s="1"/>
  <c r="K62" i="1" s="1"/>
  <c r="F62" i="1"/>
  <c r="H62" i="1" s="1"/>
  <c r="J62" i="1" s="1"/>
  <c r="F31" i="1"/>
  <c r="H31" i="1" s="1"/>
  <c r="J31" i="1" s="1"/>
  <c r="G31" i="1" l="1"/>
  <c r="I31" i="1" s="1"/>
  <c r="K31" i="1" s="1"/>
  <c r="F97" i="1"/>
  <c r="H97" i="1" l="1"/>
  <c r="J97" i="1" s="1"/>
  <c r="I23" i="1" l="1"/>
  <c r="K23" i="1" s="1"/>
  <c r="F79" i="1" l="1"/>
  <c r="H79" i="1" s="1"/>
  <c r="J79" i="1" s="1"/>
  <c r="G79" i="1"/>
  <c r="I79" i="1" s="1"/>
  <c r="K79" i="1" s="1"/>
  <c r="H23" i="1"/>
  <c r="J23" i="1" s="1"/>
  <c r="G27" i="1" l="1"/>
  <c r="I27" i="1" s="1"/>
  <c r="K27" i="1" s="1"/>
  <c r="F27" i="1"/>
  <c r="H27" i="1" s="1"/>
  <c r="J27" i="1" s="1"/>
  <c r="F74" i="1"/>
  <c r="G74" i="1" s="1"/>
  <c r="H74" i="1" s="1"/>
  <c r="I74" i="1" s="1"/>
  <c r="J74" i="1" s="1"/>
  <c r="K74" i="1" s="1"/>
  <c r="F45" i="1" l="1"/>
  <c r="F20" i="1"/>
  <c r="H20" i="1" s="1"/>
  <c r="J20" i="1" s="1"/>
  <c r="G20" i="1" l="1"/>
  <c r="I20" i="1" s="1"/>
  <c r="K20" i="1" s="1"/>
  <c r="F19" i="1"/>
  <c r="H19" i="1" s="1"/>
  <c r="J19" i="1" s="1"/>
  <c r="J21" i="1" s="1"/>
  <c r="G19" i="1"/>
  <c r="I19" i="1" s="1"/>
  <c r="K19" i="1" s="1"/>
  <c r="F35" i="1" l="1"/>
  <c r="G35" i="1"/>
  <c r="I35" i="1" s="1"/>
  <c r="K21" i="1"/>
  <c r="I21" i="1"/>
  <c r="F21" i="1"/>
  <c r="H21" i="1"/>
  <c r="G21" i="1"/>
  <c r="G90" i="1" l="1"/>
  <c r="H90" i="1"/>
  <c r="J90" i="1" s="1"/>
  <c r="H94" i="1"/>
  <c r="J94" i="1" s="1"/>
  <c r="K100" i="1"/>
  <c r="I90" i="1" l="1"/>
  <c r="K90" i="1" s="1"/>
  <c r="G98" i="1"/>
  <c r="F98" i="1"/>
  <c r="I94" i="1"/>
  <c r="G45" i="1" l="1"/>
  <c r="I45" i="1" s="1"/>
  <c r="K45" i="1" s="1"/>
  <c r="H45" i="1" l="1"/>
  <c r="J45" i="1" s="1"/>
  <c r="K94" i="1" l="1"/>
  <c r="G18" i="1" l="1"/>
  <c r="F92" i="1" l="1"/>
  <c r="H92" i="1" l="1"/>
  <c r="F91" i="1"/>
  <c r="G92" i="1"/>
  <c r="G93" i="1" s="1"/>
  <c r="I92" i="1" l="1"/>
  <c r="G91" i="1"/>
  <c r="J92" i="1"/>
  <c r="H91" i="1"/>
  <c r="J91" i="1" l="1"/>
  <c r="K92" i="1"/>
  <c r="I91" i="1"/>
  <c r="I93" i="1"/>
  <c r="F13" i="1"/>
  <c r="G13" i="1"/>
  <c r="G95" i="1"/>
  <c r="I95" i="1" s="1"/>
  <c r="K95" i="1" s="1"/>
  <c r="H95" i="1"/>
  <c r="J95" i="1" s="1"/>
  <c r="K91" i="1" l="1"/>
  <c r="K93" i="1"/>
  <c r="I13" i="1"/>
  <c r="H98" i="1"/>
  <c r="J98" i="1" s="1"/>
  <c r="H13" i="1"/>
  <c r="J13" i="1" l="1"/>
  <c r="K13" i="1"/>
  <c r="G49" i="1" l="1"/>
  <c r="G48" i="1"/>
  <c r="G50" i="1"/>
  <c r="G51" i="1"/>
  <c r="G52" i="1"/>
  <c r="F47" i="1"/>
  <c r="G47" i="1"/>
  <c r="H52" i="1" l="1"/>
  <c r="I52" i="1"/>
  <c r="K52" i="1" s="1"/>
  <c r="H48" i="1"/>
  <c r="I48" i="1"/>
  <c r="H47" i="1"/>
  <c r="I47" i="1"/>
  <c r="H51" i="1"/>
  <c r="I51" i="1"/>
  <c r="H49" i="1"/>
  <c r="I49" i="1"/>
  <c r="K49" i="1" s="1"/>
  <c r="H50" i="1"/>
  <c r="I50" i="1"/>
  <c r="J52" i="1" l="1"/>
  <c r="J51" i="1"/>
  <c r="K51" i="1"/>
  <c r="J48" i="1"/>
  <c r="K48" i="1"/>
  <c r="J49" i="1"/>
  <c r="J50" i="1"/>
  <c r="K50" i="1"/>
  <c r="J47" i="1"/>
  <c r="K47" i="1"/>
  <c r="H18" i="1"/>
  <c r="I18" i="1"/>
  <c r="J18" i="1"/>
  <c r="K18" i="1"/>
  <c r="F18" i="1"/>
  <c r="F12" i="1" l="1"/>
  <c r="H12" i="1" s="1"/>
  <c r="J12" i="1" s="1"/>
  <c r="G12" i="1"/>
  <c r="I12" i="1" s="1"/>
  <c r="K12" i="1" l="1"/>
  <c r="G14" i="1"/>
  <c r="F14" i="1"/>
  <c r="H14" i="1" s="1"/>
  <c r="J14" i="1" s="1"/>
  <c r="F105" i="1"/>
  <c r="I105" i="1" s="1"/>
  <c r="G105" i="1"/>
  <c r="J105" i="1" s="1"/>
  <c r="H105" i="1"/>
  <c r="K105" i="1" s="1"/>
  <c r="I14" i="1" l="1"/>
  <c r="K14" i="1" l="1"/>
  <c r="F38" i="1" l="1"/>
  <c r="G38" i="1" l="1"/>
  <c r="I38" i="1" l="1"/>
  <c r="H38" i="1"/>
  <c r="H35" i="1"/>
  <c r="J38" i="1" l="1"/>
  <c r="K38" i="1"/>
  <c r="K35" i="1"/>
  <c r="J35" i="1"/>
  <c r="I98" i="1" l="1"/>
  <c r="K98" i="1" s="1"/>
  <c r="G102" i="1" l="1"/>
  <c r="I102" i="1" s="1"/>
  <c r="K102" i="1" s="1"/>
  <c r="F102" i="1"/>
  <c r="H102" i="1" l="1"/>
  <c r="J102" i="1" s="1"/>
  <c r="G42" i="1"/>
  <c r="I42" i="1" s="1"/>
  <c r="K42" i="1" s="1"/>
  <c r="F42" i="1" l="1"/>
  <c r="H42" i="1" s="1"/>
  <c r="J42" i="1" s="1"/>
  <c r="H61" i="1" l="1"/>
  <c r="F61" i="1"/>
  <c r="J61" i="1" l="1"/>
  <c r="G61" i="1"/>
  <c r="I61" i="1"/>
  <c r="K61" i="1"/>
  <c r="D64" i="1"/>
</calcChain>
</file>

<file path=xl/sharedStrings.xml><?xml version="1.0" encoding="utf-8"?>
<sst xmlns="http://schemas.openxmlformats.org/spreadsheetml/2006/main" count="197" uniqueCount="122">
  <si>
    <t>в том числе:</t>
  </si>
  <si>
    <t>Валовой сбор зерна (в весе после доработки)</t>
  </si>
  <si>
    <t>тыс. тонн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</si>
  <si>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</si>
  <si>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</si>
  <si>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</si>
  <si>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</si>
  <si>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</si>
  <si>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</si>
  <si>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</si>
  <si>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</si>
  <si>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</si>
  <si>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</si>
  <si>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</si>
  <si>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</si>
  <si>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</si>
  <si>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</si>
  <si>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</si>
  <si>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</si>
  <si>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</si>
  <si>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</si>
  <si>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</si>
  <si>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</si>
  <si>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</si>
  <si>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</si>
  <si>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</si>
  <si>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</si>
  <si>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</si>
  <si>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</si>
  <si>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</si>
  <si>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</si>
  <si>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</si>
  <si>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</si>
  <si>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</si>
  <si>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</si>
  <si>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</si>
  <si>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</si>
  <si>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</si>
  <si>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</si>
  <si>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</si>
  <si>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</si>
  <si>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</si>
  <si>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</si>
  <si>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</si>
  <si>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</si>
  <si>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</si>
  <si>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</si>
  <si>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</si>
  <si>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</si>
  <si>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</si>
  <si>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</si>
  <si>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</si>
  <si>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</si>
  <si>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</si>
  <si>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</si>
  <si>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</si>
  <si>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</si>
  <si>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</si>
  <si>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</si>
  <si>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</si>
  <si>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</si>
  <si>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</si>
  <si>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</si>
  <si>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</si>
  <si>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</si>
  <si>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</si>
  <si>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</si>
  <si>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</si>
  <si>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</si>
  <si>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</si>
  <si>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</si>
  <si>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</si>
  <si>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</si>
  <si>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</si>
  <si>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</si>
  <si>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</si>
  <si>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</si>
  <si>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</si>
  <si>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</si>
  <si>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</si>
  <si>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</si>
  <si>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</si>
  <si>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</si>
  <si>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</si>
  <si>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</si>
  <si>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</si>
  <si>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</si>
  <si>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</si>
  <si>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% к раб. силе</t>
  </si>
  <si>
    <t>индекс производства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</si>
  <si>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</si>
  <si>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</si>
  <si>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</si>
  <si>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</si>
  <si>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</si>
  <si>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</si>
  <si>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</si>
  <si>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</si>
  <si>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</si>
  <si>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</si>
  <si>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</si>
  <si>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</si>
  <si>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</si>
  <si>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</si>
  <si>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</si>
  <si>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</si>
  <si>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</si>
  <si>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</si>
  <si>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</si>
  <si>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</si>
  <si>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</si>
  <si>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</si>
  <si>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</si>
  <si>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</si>
  <si>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</si>
  <si>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</si>
  <si>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...1) Данные не публикуются в целях обеспечения конфиденциальности  первичных статданных, полученных от роганизаций, в соответствиис Федеральным законом от 29.11.2007г., № 282-ФЗ "Об официальном статистическом учете и системе государственной статистикив РФ" (тс.4; п.5; ст.9, п.1)</t>
  </si>
  <si>
    <t xml:space="preserve"> </t>
  </si>
  <si>
    <t>Основные показатели, представляемые для разработки прогноза социально-экономического развития Карачевского муниципального района Брянской области</t>
  </si>
  <si>
    <t>Производство продукции растениеводства</t>
  </si>
  <si>
    <t>на среднесрочный период 2025-2027</t>
  </si>
  <si>
    <t>к предыдущему году в сопоставимых ценах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</si>
</sst>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4"/>
      <color rgb="FFFF000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/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Continuous" vertical="center" wrapText="1"/>
    </xf>
    <xf numFmtId="0" fontId="5" fillId="3" borderId="1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0" fontId="6" fillId="0" borderId="1" xfId="0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/>
    <xf numFmtId="0" fontId="7" fillId="2" borderId="6" xfId="0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 vertical="center"/>
    </xf>
    <xf numFmtId="165" fontId="3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165" fontId="7" fillId="2" borderId="1" xfId="0" applyNumberFormat="1" applyFont="1" applyFill="1" applyBorder="1" applyAlignment="1">
      <alignment horizontal="center" wrapText="1" shrinkToFit="1"/>
    </xf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/>
    <xf numFmtId="4" fontId="7" fillId="2" borderId="6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shrinkToFi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 applyProtection="1">
      <alignment horizontal="center" vertical="center" wrapText="1"/>
    </xf>
    <xf numFmtId="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 shrinkToFit="1"/>
    </xf>
    <xf numFmtId="0" fontId="11" fillId="0" borderId="1" xfId="0" applyFont="1" applyFill="1" applyBorder="1" applyAlignment="1" applyProtection="1">
      <alignment horizontal="left" vertical="center" wrapText="1" shrinkToFit="1"/>
    </xf>
    <xf numFmtId="16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165" fontId="7" fillId="2" borderId="1" xfId="0" applyNumberFormat="1" applyFont="1" applyFill="1" applyBorder="1" applyAlignment="1" applyProtection="1">
      <alignment horizontal="center" vertical="center" wrapText="1"/>
    </xf>
    <xf numFmtId="1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165" fontId="7" fillId="2" borderId="8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6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1" fontId="7" fillId="2" borderId="7" xfId="0" applyNumberFormat="1" applyFont="1" applyFill="1" applyBorder="1" applyAlignment="1">
      <alignment horizontal="center" vertical="center"/>
    </xf>
    <xf numFmtId="1" fontId="7" fillId="2" borderId="6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left" vertical="center" wrapText="1" shrinkToFit="1"/>
    </xf>
    <xf numFmtId="0" fontId="6" fillId="0" borderId="5" xfId="0" applyFont="1" applyFill="1" applyBorder="1" applyAlignment="1">
      <alignment horizontal="left" vertical="center" wrapText="1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9"/>
  <sheetViews>
    <sheetView tabSelected="1" view="pageBreakPreview" zoomScale="75" zoomScaleNormal="60" zoomScaleSheetLayoutView="75" workbookViewId="0">
      <pane xSplit="2" ySplit="10" topLeftCell="D77" activePane="bottomRight" state="frozen"/>
      <selection pane="topRight" activeCell="C1" sqref="C1"/>
      <selection pane="bottomLeft" activeCell="A11" sqref="A11"/>
      <selection pane="bottomRight" activeCell="G81" sqref="G81"/>
    </sheetView>
  </sheetViews>
  <sheetFormatPr defaultColWidth="15.28515625" defaultRowHeight="18" x14ac:dyDescent="0.25"/>
  <cols>
    <col min="1" max="1" width="34" style="1" customWidth="1"/>
    <col min="2" max="3" width="15.28515625" style="1"/>
    <col min="4" max="4" width="15.28515625" style="1" customWidth="1"/>
    <col min="5" max="5" width="15.28515625" style="1"/>
    <col min="6" max="9" width="17.140625" style="1" bestFit="1" customWidth="1"/>
    <col min="10" max="10" width="16.85546875" style="1" customWidth="1"/>
    <col min="11" max="11" width="17.5703125" style="1" customWidth="1"/>
    <col min="12" max="16384" width="15.28515625" style="1"/>
  </cols>
  <sheetData>
    <row r="2" spans="1:11" x14ac:dyDescent="0.25">
      <c r="A2" s="67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33.75" customHeight="1" x14ac:dyDescent="0.25">
      <c r="A3" s="68" t="s">
        <v>118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 ht="25.5" customHeight="1" x14ac:dyDescent="0.25">
      <c r="A4" s="68" t="s">
        <v>120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11" x14ac:dyDescent="0.2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</row>
    <row r="7" spans="1:11" ht="18.75" x14ac:dyDescent="0.25">
      <c r="A7" s="69" t="s">
        <v>22</v>
      </c>
      <c r="B7" s="69" t="s">
        <v>23</v>
      </c>
      <c r="C7" s="2" t="s">
        <v>24</v>
      </c>
      <c r="D7" s="3" t="s">
        <v>24</v>
      </c>
      <c r="E7" s="3" t="s">
        <v>25</v>
      </c>
      <c r="F7" s="3" t="s">
        <v>26</v>
      </c>
      <c r="G7" s="3"/>
      <c r="H7" s="3"/>
      <c r="I7" s="3"/>
      <c r="J7" s="3"/>
      <c r="K7" s="3"/>
    </row>
    <row r="8" spans="1:11" ht="18.75" x14ac:dyDescent="0.25">
      <c r="A8" s="69"/>
      <c r="B8" s="69"/>
      <c r="C8" s="69">
        <v>2022</v>
      </c>
      <c r="D8" s="69">
        <v>2023</v>
      </c>
      <c r="E8" s="69">
        <v>2024</v>
      </c>
      <c r="F8" s="71">
        <v>2025</v>
      </c>
      <c r="G8" s="72"/>
      <c r="H8" s="71">
        <v>2026</v>
      </c>
      <c r="I8" s="72"/>
      <c r="J8" s="71">
        <v>2027</v>
      </c>
      <c r="K8" s="72"/>
    </row>
    <row r="9" spans="1:11" ht="37.5" x14ac:dyDescent="0.25">
      <c r="A9" s="69"/>
      <c r="B9" s="69"/>
      <c r="C9" s="69"/>
      <c r="D9" s="69"/>
      <c r="E9" s="69"/>
      <c r="F9" s="2" t="s">
        <v>81</v>
      </c>
      <c r="G9" s="2" t="s">
        <v>80</v>
      </c>
      <c r="H9" s="2" t="s">
        <v>81</v>
      </c>
      <c r="I9" s="2" t="s">
        <v>80</v>
      </c>
      <c r="J9" s="2" t="s">
        <v>81</v>
      </c>
      <c r="K9" s="2" t="s">
        <v>80</v>
      </c>
    </row>
    <row r="10" spans="1:11" ht="18.75" x14ac:dyDescent="0.25">
      <c r="A10" s="69"/>
      <c r="B10" s="69"/>
      <c r="C10" s="69"/>
      <c r="D10" s="69"/>
      <c r="E10" s="69"/>
      <c r="F10" s="2" t="s">
        <v>27</v>
      </c>
      <c r="G10" s="2" t="s">
        <v>28</v>
      </c>
      <c r="H10" s="2" t="s">
        <v>27</v>
      </c>
      <c r="I10" s="2" t="s">
        <v>28</v>
      </c>
      <c r="J10" s="2" t="s">
        <v>27</v>
      </c>
      <c r="K10" s="2" t="s">
        <v>28</v>
      </c>
    </row>
    <row r="11" spans="1:11" ht="18.75" x14ac:dyDescent="0.25">
      <c r="A11" s="4" t="s">
        <v>29</v>
      </c>
      <c r="B11" s="5"/>
      <c r="C11" s="6"/>
      <c r="D11" s="6"/>
      <c r="E11" s="6"/>
      <c r="F11" s="6"/>
      <c r="G11" s="6"/>
      <c r="H11" s="6"/>
      <c r="I11" s="6"/>
      <c r="J11" s="6"/>
      <c r="K11" s="6"/>
    </row>
    <row r="12" spans="1:11" ht="56.25" x14ac:dyDescent="0.25">
      <c r="A12" s="7" t="s">
        <v>83</v>
      </c>
      <c r="B12" s="8" t="s">
        <v>30</v>
      </c>
      <c r="C12" s="9">
        <v>30.190999999999999</v>
      </c>
      <c r="D12" s="10">
        <v>31.3</v>
      </c>
      <c r="E12" s="10">
        <v>30.873000000000001</v>
      </c>
      <c r="F12" s="10">
        <f>(E12*0.99931880108)+(F18/E12)+(F21/1000)</f>
        <v>30.470866343119187</v>
      </c>
      <c r="G12" s="10">
        <f>E12*1.00136239782+(F18/E12)+(F21/1000)</f>
        <v>30.533958305273206</v>
      </c>
      <c r="H12" s="10">
        <f>F12*0.99863667348+(F18/E12)+(F21/1000)</f>
        <v>30.048221600322581</v>
      </c>
      <c r="I12" s="10">
        <f>G12*1.00204081632+(F18/E12)+(F21/1000)</f>
        <v>30.215169503073156</v>
      </c>
      <c r="J12" s="10">
        <f>H12*0.99931740614+(F18/E12)+(F21/1000)</f>
        <v>29.646607866130626</v>
      </c>
      <c r="K12" s="10">
        <f>I12*1.0027155465+(F18/E12)+(F21/1000)</f>
        <v>29.916117198240478</v>
      </c>
    </row>
    <row r="13" spans="1:11" ht="37.5" x14ac:dyDescent="0.25">
      <c r="A13" s="7" t="s">
        <v>84</v>
      </c>
      <c r="B13" s="8" t="s">
        <v>30</v>
      </c>
      <c r="C13" s="9">
        <v>16.64</v>
      </c>
      <c r="D13" s="10">
        <v>16.89</v>
      </c>
      <c r="E13" s="10">
        <v>17.07</v>
      </c>
      <c r="F13" s="10">
        <f>E13*1.00365853658</f>
        <v>17.132451219420599</v>
      </c>
      <c r="G13" s="10">
        <f>E13*1.0060976097</f>
        <v>17.174086197579001</v>
      </c>
      <c r="H13" s="10">
        <f>F13*1.00486026731</f>
        <v>17.215719512022517</v>
      </c>
      <c r="I13" s="10">
        <f>G13*1.007273272727</f>
        <v>17.298998010330997</v>
      </c>
      <c r="J13" s="10">
        <f>H13*1.00362756952</f>
        <v>17.278170731389199</v>
      </c>
      <c r="K13" s="10">
        <f>I13*1.0072202166</f>
        <v>17.423900522928555</v>
      </c>
    </row>
    <row r="14" spans="1:11" ht="56.25" x14ac:dyDescent="0.25">
      <c r="A14" s="7" t="s">
        <v>85</v>
      </c>
      <c r="B14" s="8" t="s">
        <v>30</v>
      </c>
      <c r="C14" s="9">
        <v>8.75</v>
      </c>
      <c r="D14" s="10">
        <v>9.35</v>
      </c>
      <c r="E14" s="10">
        <v>8.89</v>
      </c>
      <c r="F14" s="10">
        <f>E14*0.98927613941</f>
        <v>8.7946648793549009</v>
      </c>
      <c r="G14" s="10">
        <f>E14*0.98918918918</f>
        <v>8.7938918918102011</v>
      </c>
      <c r="H14" s="10">
        <f>F14*0.98915989159</f>
        <v>8.6993297586330733</v>
      </c>
      <c r="I14" s="10">
        <f>G14*0.98918918918</f>
        <v>8.6988227901963082</v>
      </c>
      <c r="J14" s="10">
        <f>H14*0.98904109589</f>
        <v>8.6039946379869434</v>
      </c>
      <c r="K14" s="10">
        <f>I14*0.99180327868</f>
        <v>8.6275209639730033</v>
      </c>
    </row>
    <row r="15" spans="1:11" ht="56.25" x14ac:dyDescent="0.25">
      <c r="A15" s="7" t="s">
        <v>31</v>
      </c>
      <c r="B15" s="8" t="s">
        <v>32</v>
      </c>
      <c r="C15" s="11">
        <v>70</v>
      </c>
      <c r="D15" s="12">
        <v>70</v>
      </c>
      <c r="E15" s="12">
        <v>70</v>
      </c>
      <c r="F15" s="12">
        <v>70</v>
      </c>
      <c r="G15" s="12">
        <v>71</v>
      </c>
      <c r="H15" s="12">
        <v>70</v>
      </c>
      <c r="I15" s="12">
        <v>72</v>
      </c>
      <c r="J15" s="12">
        <v>70</v>
      </c>
      <c r="K15" s="12">
        <v>73</v>
      </c>
    </row>
    <row r="16" spans="1:11" ht="93.75" x14ac:dyDescent="0.25">
      <c r="A16" s="7" t="s">
        <v>33</v>
      </c>
      <c r="B16" s="8" t="s">
        <v>34</v>
      </c>
      <c r="C16" s="13">
        <v>6</v>
      </c>
      <c r="D16" s="14">
        <v>5.8</v>
      </c>
      <c r="E16" s="14">
        <v>6.1</v>
      </c>
      <c r="F16" s="14">
        <v>6.2</v>
      </c>
      <c r="G16" s="14">
        <v>6.2</v>
      </c>
      <c r="H16" s="14">
        <v>6.2</v>
      </c>
      <c r="I16" s="14">
        <v>6.2</v>
      </c>
      <c r="J16" s="14">
        <v>6.2</v>
      </c>
      <c r="K16" s="14">
        <v>6.2</v>
      </c>
    </row>
    <row r="17" spans="1:12" ht="93.75" x14ac:dyDescent="0.25">
      <c r="A17" s="7" t="s">
        <v>35</v>
      </c>
      <c r="B17" s="8" t="s">
        <v>36</v>
      </c>
      <c r="C17" s="13">
        <v>17.3</v>
      </c>
      <c r="D17" s="14">
        <v>15.3</v>
      </c>
      <c r="E17" s="14">
        <v>16.5</v>
      </c>
      <c r="F17" s="14">
        <v>16.7</v>
      </c>
      <c r="G17" s="14">
        <v>16.7</v>
      </c>
      <c r="H17" s="14">
        <v>16.7</v>
      </c>
      <c r="I17" s="14">
        <v>16.7</v>
      </c>
      <c r="J17" s="14">
        <v>16.7</v>
      </c>
      <c r="K17" s="14">
        <v>16.7</v>
      </c>
    </row>
    <row r="18" spans="1:12" ht="56.25" x14ac:dyDescent="0.25">
      <c r="A18" s="7" t="s">
        <v>72</v>
      </c>
      <c r="B18" s="8" t="s">
        <v>37</v>
      </c>
      <c r="C18" s="13">
        <f t="shared" ref="C18:D18" si="0">C16-C17</f>
        <v>-11.3</v>
      </c>
      <c r="D18" s="14">
        <f t="shared" si="0"/>
        <v>-9.5</v>
      </c>
      <c r="E18" s="14">
        <v>-10.4</v>
      </c>
      <c r="F18" s="15">
        <f t="shared" ref="F18:K18" si="1">F16-F17</f>
        <v>-10.5</v>
      </c>
      <c r="G18" s="15">
        <f t="shared" si="1"/>
        <v>-10.5</v>
      </c>
      <c r="H18" s="15">
        <f t="shared" si="1"/>
        <v>-10.5</v>
      </c>
      <c r="I18" s="15">
        <f t="shared" si="1"/>
        <v>-10.5</v>
      </c>
      <c r="J18" s="15">
        <f t="shared" si="1"/>
        <v>-10.5</v>
      </c>
      <c r="K18" s="15">
        <f t="shared" si="1"/>
        <v>-10.5</v>
      </c>
    </row>
    <row r="19" spans="1:12" ht="37.5" x14ac:dyDescent="0.25">
      <c r="A19" s="7" t="s">
        <v>41</v>
      </c>
      <c r="B19" s="8" t="s">
        <v>62</v>
      </c>
      <c r="C19" s="16">
        <v>358</v>
      </c>
      <c r="D19" s="15">
        <v>340</v>
      </c>
      <c r="E19" s="15">
        <v>352</v>
      </c>
      <c r="F19" s="15">
        <f>E19+5</f>
        <v>357</v>
      </c>
      <c r="G19" s="15">
        <f>E19+5</f>
        <v>357</v>
      </c>
      <c r="H19" s="15">
        <f>F19+15</f>
        <v>372</v>
      </c>
      <c r="I19" s="15">
        <f>G19+15</f>
        <v>372</v>
      </c>
      <c r="J19" s="15">
        <f>H19+15</f>
        <v>387</v>
      </c>
      <c r="K19" s="15">
        <f>I19+15</f>
        <v>387</v>
      </c>
    </row>
    <row r="20" spans="1:12" ht="37.5" x14ac:dyDescent="0.25">
      <c r="A20" s="7" t="s">
        <v>43</v>
      </c>
      <c r="B20" s="8" t="s">
        <v>62</v>
      </c>
      <c r="C20" s="16">
        <v>682</v>
      </c>
      <c r="D20" s="15">
        <v>495</v>
      </c>
      <c r="E20" s="15">
        <v>403</v>
      </c>
      <c r="F20" s="15">
        <f>E20-5</f>
        <v>398</v>
      </c>
      <c r="G20" s="15">
        <f>E20-5</f>
        <v>398</v>
      </c>
      <c r="H20" s="15">
        <f>F20-5</f>
        <v>393</v>
      </c>
      <c r="I20" s="15">
        <f>G20-5</f>
        <v>393</v>
      </c>
      <c r="J20" s="15">
        <f>H20-5</f>
        <v>388</v>
      </c>
      <c r="K20" s="15">
        <f>I20-5</f>
        <v>388</v>
      </c>
    </row>
    <row r="21" spans="1:12" ht="37.5" x14ac:dyDescent="0.25">
      <c r="A21" s="7" t="s">
        <v>86</v>
      </c>
      <c r="B21" s="8" t="s">
        <v>62</v>
      </c>
      <c r="C21" s="16">
        <f t="shared" ref="C21" si="2">C19-C20</f>
        <v>-324</v>
      </c>
      <c r="D21" s="15">
        <f>D19-D20</f>
        <v>-155</v>
      </c>
      <c r="E21" s="15">
        <f>E19-E20</f>
        <v>-51</v>
      </c>
      <c r="F21" s="15">
        <f t="shared" ref="F21:K21" si="3">F19-F20</f>
        <v>-41</v>
      </c>
      <c r="G21" s="15">
        <f t="shared" si="3"/>
        <v>-41</v>
      </c>
      <c r="H21" s="15">
        <f t="shared" si="3"/>
        <v>-21</v>
      </c>
      <c r="I21" s="15">
        <f t="shared" si="3"/>
        <v>-21</v>
      </c>
      <c r="J21" s="15">
        <f t="shared" si="3"/>
        <v>-1</v>
      </c>
      <c r="K21" s="15">
        <f t="shared" si="3"/>
        <v>-1</v>
      </c>
    </row>
    <row r="22" spans="1:12" s="18" customFormat="1" ht="37.5" x14ac:dyDescent="0.25">
      <c r="A22" s="4" t="s">
        <v>44</v>
      </c>
      <c r="B22" s="5"/>
      <c r="C22" s="17"/>
      <c r="D22" s="17"/>
      <c r="E22" s="17"/>
      <c r="F22" s="17"/>
      <c r="G22" s="17"/>
      <c r="H22" s="17"/>
      <c r="I22" s="17"/>
      <c r="J22" s="17"/>
      <c r="K22" s="17"/>
    </row>
    <row r="23" spans="1:12" ht="150" x14ac:dyDescent="0.25">
      <c r="A23" s="7" t="s">
        <v>45</v>
      </c>
      <c r="B23" s="8" t="s">
        <v>46</v>
      </c>
      <c r="C23" s="16">
        <v>21729874</v>
      </c>
      <c r="D23" s="15">
        <v>21321492</v>
      </c>
      <c r="E23" s="15">
        <f>D23*E24*E25/10000</f>
        <v>22113244.283927999</v>
      </c>
      <c r="F23" s="15">
        <f>E23*F24%*F25%</f>
        <v>23067563.454245199</v>
      </c>
      <c r="G23" s="15">
        <f>E23*G24%*G25%</f>
        <v>23931395.228952557</v>
      </c>
      <c r="H23" s="15">
        <f>F23*H24%*H25%</f>
        <v>23903601.156517413</v>
      </c>
      <c r="I23" s="15">
        <f>G23*I24%*I25%</f>
        <v>25314438.422024183</v>
      </c>
      <c r="J23" s="15">
        <f>H23*J24%*J25%</f>
        <v>25281165.691167511</v>
      </c>
      <c r="K23" s="15">
        <f>I23*K24%*K25%</f>
        <v>26829710.077089705</v>
      </c>
    </row>
    <row r="24" spans="1:12" ht="37.5" x14ac:dyDescent="0.25">
      <c r="A24" s="7" t="s">
        <v>121</v>
      </c>
      <c r="B24" s="8" t="s">
        <v>13</v>
      </c>
      <c r="C24" s="57">
        <v>160.93</v>
      </c>
      <c r="D24" s="20">
        <f>D23/D25/C23*10000</f>
        <v>95.634154558603086</v>
      </c>
      <c r="E24" s="20">
        <v>93.1</v>
      </c>
      <c r="F24" s="20">
        <v>100.4</v>
      </c>
      <c r="G24" s="20">
        <v>102</v>
      </c>
      <c r="H24" s="20">
        <v>100.9</v>
      </c>
      <c r="I24" s="20">
        <v>102.4</v>
      </c>
      <c r="J24" s="20">
        <v>101.5</v>
      </c>
      <c r="K24" s="20">
        <v>102.6</v>
      </c>
      <c r="L24" s="21"/>
    </row>
    <row r="25" spans="1:12" ht="18.75" x14ac:dyDescent="0.25">
      <c r="A25" s="7" t="s">
        <v>94</v>
      </c>
      <c r="B25" s="22" t="s">
        <v>13</v>
      </c>
      <c r="C25" s="58"/>
      <c r="D25" s="23">
        <v>102.6</v>
      </c>
      <c r="E25" s="23">
        <v>111.4</v>
      </c>
      <c r="F25" s="23">
        <v>103.9</v>
      </c>
      <c r="G25" s="23">
        <v>106.1</v>
      </c>
      <c r="H25" s="23">
        <v>102.7</v>
      </c>
      <c r="I25" s="23">
        <v>103.3</v>
      </c>
      <c r="J25" s="23">
        <v>104.2</v>
      </c>
      <c r="K25" s="23">
        <v>103.3</v>
      </c>
    </row>
    <row r="26" spans="1:12" ht="18.75" x14ac:dyDescent="0.25">
      <c r="A26" s="7" t="s">
        <v>0</v>
      </c>
      <c r="B26" s="8"/>
      <c r="C26" s="24"/>
      <c r="D26" s="25"/>
      <c r="E26" s="25"/>
      <c r="F26" s="25"/>
      <c r="G26" s="25"/>
      <c r="H26" s="25"/>
      <c r="I26" s="25"/>
      <c r="J26" s="25"/>
      <c r="K26" s="25"/>
    </row>
    <row r="27" spans="1:12" ht="150" x14ac:dyDescent="0.25">
      <c r="A27" s="7" t="s">
        <v>82</v>
      </c>
      <c r="B27" s="8" t="s">
        <v>46</v>
      </c>
      <c r="C27" s="26">
        <v>21570632</v>
      </c>
      <c r="D27" s="15">
        <v>20741763</v>
      </c>
      <c r="E27" s="15">
        <f>D27*E28*E29/10000</f>
        <v>20475604.697184</v>
      </c>
      <c r="F27" s="15">
        <f>E27*F28%*F29%</f>
        <v>23003440.950679552</v>
      </c>
      <c r="G27" s="15">
        <f>E27*G28%*G29%</f>
        <v>23114418.728138287</v>
      </c>
      <c r="H27" s="15">
        <f>F27*H28%*H29%</f>
        <v>24665623.586893756</v>
      </c>
      <c r="I27" s="15">
        <f>G27*I28%*I29%</f>
        <v>25024455.605319262</v>
      </c>
      <c r="J27" s="15">
        <f>H27*J28%*J29%</f>
        <v>26780429.487610437</v>
      </c>
      <c r="K27" s="15">
        <f>I27*K28%*K29%</f>
        <v>26702420.427022744</v>
      </c>
    </row>
    <row r="28" spans="1:12" ht="37.5" x14ac:dyDescent="0.25">
      <c r="A28" s="7" t="s">
        <v>121</v>
      </c>
      <c r="B28" s="45" t="s">
        <v>13</v>
      </c>
      <c r="C28" s="59">
        <v>161.5</v>
      </c>
      <c r="D28" s="60">
        <f>D27/D29/C27*10000</f>
        <v>93.356717506387966</v>
      </c>
      <c r="E28" s="61">
        <v>90.4</v>
      </c>
      <c r="F28" s="61">
        <v>107.2</v>
      </c>
      <c r="G28" s="61">
        <v>106.8</v>
      </c>
      <c r="H28" s="61">
        <v>103.7</v>
      </c>
      <c r="I28" s="61">
        <v>104.3</v>
      </c>
      <c r="J28" s="28">
        <v>103.7</v>
      </c>
      <c r="K28" s="28">
        <v>103.9</v>
      </c>
    </row>
    <row r="29" spans="1:12" ht="18.75" x14ac:dyDescent="0.25">
      <c r="A29" s="7" t="s">
        <v>94</v>
      </c>
      <c r="B29" s="22" t="s">
        <v>13</v>
      </c>
      <c r="C29" s="62"/>
      <c r="D29" s="61">
        <v>103</v>
      </c>
      <c r="E29" s="61">
        <v>109.2</v>
      </c>
      <c r="F29" s="61">
        <v>104.8</v>
      </c>
      <c r="G29" s="61">
        <v>105.7</v>
      </c>
      <c r="H29" s="61">
        <v>103.4</v>
      </c>
      <c r="I29" s="61">
        <v>103.8</v>
      </c>
      <c r="J29" s="28">
        <v>104.7</v>
      </c>
      <c r="K29" s="28">
        <v>102.7</v>
      </c>
    </row>
    <row r="30" spans="1:12" s="18" customFormat="1" ht="18.75" x14ac:dyDescent="0.25">
      <c r="A30" s="4" t="s">
        <v>49</v>
      </c>
      <c r="B30" s="5"/>
      <c r="C30" s="17"/>
      <c r="D30" s="17"/>
      <c r="E30" s="25"/>
      <c r="F30" s="25"/>
      <c r="G30" s="25"/>
      <c r="H30" s="25"/>
      <c r="I30" s="25"/>
      <c r="J30" s="25"/>
      <c r="K30" s="25"/>
    </row>
    <row r="31" spans="1:12" ht="75" x14ac:dyDescent="0.25">
      <c r="A31" s="29" t="s">
        <v>48</v>
      </c>
      <c r="B31" s="30" t="s">
        <v>46</v>
      </c>
      <c r="C31" s="10">
        <v>1522627</v>
      </c>
      <c r="D31" s="10">
        <f>C31*D32%</f>
        <v>1528717.5079999999</v>
      </c>
      <c r="E31" s="15">
        <f>D31*E32*E33/10000</f>
        <v>1595553.0374497599</v>
      </c>
      <c r="F31" s="10">
        <f>E31*F32%</f>
        <v>1582788.6131501617</v>
      </c>
      <c r="G31" s="10">
        <f>E31*G32%</f>
        <v>1665757.3710975493</v>
      </c>
      <c r="H31" s="10">
        <f t="shared" ref="H31:K31" si="4">F31*H32%</f>
        <v>1600199.2878948133</v>
      </c>
      <c r="I31" s="10">
        <f t="shared" si="4"/>
        <v>1692409.4890351102</v>
      </c>
      <c r="J31" s="10">
        <f t="shared" si="4"/>
        <v>1622602.0779253407</v>
      </c>
      <c r="K31" s="10">
        <f t="shared" si="4"/>
        <v>1716103.2218816017</v>
      </c>
    </row>
    <row r="32" spans="1:12" ht="37.5" x14ac:dyDescent="0.3">
      <c r="A32" s="7" t="s">
        <v>121</v>
      </c>
      <c r="B32" s="8" t="s">
        <v>13</v>
      </c>
      <c r="C32" s="63">
        <v>100.5</v>
      </c>
      <c r="D32" s="63">
        <v>100.4</v>
      </c>
      <c r="E32" s="63">
        <v>97</v>
      </c>
      <c r="F32" s="31">
        <v>99.2</v>
      </c>
      <c r="G32" s="31">
        <v>104.4</v>
      </c>
      <c r="H32" s="31">
        <v>101.1</v>
      </c>
      <c r="I32" s="31">
        <v>101.6</v>
      </c>
      <c r="J32" s="31">
        <v>101.4</v>
      </c>
      <c r="K32" s="31">
        <v>101.4</v>
      </c>
    </row>
    <row r="33" spans="1:12" ht="18.75" x14ac:dyDescent="0.3">
      <c r="A33" s="7" t="s">
        <v>94</v>
      </c>
      <c r="B33" s="22" t="s">
        <v>13</v>
      </c>
      <c r="C33" s="63"/>
      <c r="D33" s="63"/>
      <c r="E33" s="63">
        <v>107.6</v>
      </c>
      <c r="F33" s="31">
        <v>105.1</v>
      </c>
      <c r="G33" s="31">
        <v>105.6</v>
      </c>
      <c r="H33" s="31">
        <v>104</v>
      </c>
      <c r="I33" s="31">
        <v>104.3</v>
      </c>
      <c r="J33" s="31">
        <v>105.2</v>
      </c>
      <c r="K33" s="31">
        <v>103.8</v>
      </c>
    </row>
    <row r="34" spans="1:12" ht="18.75" x14ac:dyDescent="0.25">
      <c r="A34" s="7" t="s">
        <v>0</v>
      </c>
      <c r="B34" s="8"/>
      <c r="C34" s="25"/>
      <c r="D34" s="25"/>
      <c r="E34" s="25"/>
      <c r="F34" s="25"/>
      <c r="G34" s="25"/>
      <c r="H34" s="25"/>
      <c r="I34" s="25"/>
      <c r="J34" s="25"/>
      <c r="K34" s="25"/>
    </row>
    <row r="35" spans="1:12" ht="75" x14ac:dyDescent="0.25">
      <c r="A35" s="7" t="s">
        <v>119</v>
      </c>
      <c r="B35" s="8" t="s">
        <v>46</v>
      </c>
      <c r="C35" s="14">
        <v>977317</v>
      </c>
      <c r="D35" s="14">
        <f>C35*D36%</f>
        <v>968521.147</v>
      </c>
      <c r="E35" s="15">
        <f>D35*E36*E37/10000</f>
        <v>1108641.9439422248</v>
      </c>
      <c r="F35" s="10">
        <f>E35*F36%-0.31</f>
        <v>1151878.6697559718</v>
      </c>
      <c r="G35" s="32">
        <f>E35*G36%+0.41</f>
        <v>1157422.5994756827</v>
      </c>
      <c r="H35" s="10">
        <f>F35*H36%</f>
        <v>1194498.1805369426</v>
      </c>
      <c r="I35" s="10">
        <f>G35*I36%</f>
        <v>1204876.9260541857</v>
      </c>
      <c r="J35" s="10">
        <f>H35*J36%</f>
        <v>1245861.6023000311</v>
      </c>
      <c r="K35" s="10">
        <f>I35*K36%</f>
        <v>1247047.618466082</v>
      </c>
      <c r="L35" s="33"/>
    </row>
    <row r="36" spans="1:12" ht="93.75" x14ac:dyDescent="0.25">
      <c r="A36" s="7" t="s">
        <v>89</v>
      </c>
      <c r="B36" s="8" t="s">
        <v>47</v>
      </c>
      <c r="C36" s="50">
        <v>108.5397</v>
      </c>
      <c r="D36" s="50">
        <v>99.1</v>
      </c>
      <c r="E36" s="50">
        <v>108.5</v>
      </c>
      <c r="F36" s="50">
        <v>103.9</v>
      </c>
      <c r="G36" s="52">
        <v>104.4</v>
      </c>
      <c r="H36" s="50">
        <v>103.7</v>
      </c>
      <c r="I36" s="52">
        <v>104.1</v>
      </c>
      <c r="J36" s="52">
        <v>104.3</v>
      </c>
      <c r="K36" s="52">
        <v>103.5</v>
      </c>
    </row>
    <row r="37" spans="1:12" ht="18.75" x14ac:dyDescent="0.25">
      <c r="A37" s="7" t="s">
        <v>94</v>
      </c>
      <c r="B37" s="22" t="s">
        <v>13</v>
      </c>
      <c r="C37" s="28"/>
      <c r="D37" s="28"/>
      <c r="E37" s="28">
        <v>105.5</v>
      </c>
      <c r="F37" s="51">
        <v>105.8</v>
      </c>
      <c r="G37" s="51">
        <v>106.3</v>
      </c>
      <c r="H37" s="27">
        <v>104.3</v>
      </c>
      <c r="I37" s="51">
        <v>104.5</v>
      </c>
      <c r="J37" s="28">
        <v>105.9</v>
      </c>
      <c r="K37" s="51">
        <v>104</v>
      </c>
    </row>
    <row r="38" spans="1:12" ht="75" x14ac:dyDescent="0.25">
      <c r="A38" s="7" t="s">
        <v>90</v>
      </c>
      <c r="B38" s="8" t="s">
        <v>46</v>
      </c>
      <c r="C38" s="10">
        <v>545410</v>
      </c>
      <c r="D38" s="10">
        <f>C38*D39%+0.35</f>
        <v>560136.42000000004</v>
      </c>
      <c r="E38" s="15">
        <f>D38*E39*E40/10000</f>
        <v>669738.31330140005</v>
      </c>
      <c r="F38" s="10">
        <f>E38*F39%</f>
        <v>695858.10752015479</v>
      </c>
      <c r="G38" s="32">
        <f>E38*G39%</f>
        <v>699206.79908666166</v>
      </c>
      <c r="H38" s="10">
        <f>F38*H39%</f>
        <v>721604.8574984005</v>
      </c>
      <c r="I38" s="10">
        <f>G38*I39%</f>
        <v>727874.27784921473</v>
      </c>
      <c r="J38" s="10">
        <f>H38*J39%</f>
        <v>752633.86637083162</v>
      </c>
      <c r="K38" s="10">
        <f>I38*K39%</f>
        <v>753349.87757393718</v>
      </c>
    </row>
    <row r="39" spans="1:12" ht="93.75" x14ac:dyDescent="0.25">
      <c r="A39" s="7" t="s">
        <v>91</v>
      </c>
      <c r="B39" s="8" t="s">
        <v>47</v>
      </c>
      <c r="C39" s="50">
        <v>110.41</v>
      </c>
      <c r="D39" s="50">
        <v>102.7</v>
      </c>
      <c r="E39" s="50">
        <v>108.5</v>
      </c>
      <c r="F39" s="50">
        <v>103.9</v>
      </c>
      <c r="G39" s="52">
        <v>104.4</v>
      </c>
      <c r="H39" s="50">
        <v>103.7</v>
      </c>
      <c r="I39" s="52">
        <v>104.1</v>
      </c>
      <c r="J39" s="52">
        <v>104.3</v>
      </c>
      <c r="K39" s="52">
        <v>103.5</v>
      </c>
    </row>
    <row r="40" spans="1:12" ht="18.75" x14ac:dyDescent="0.25">
      <c r="A40" s="7" t="s">
        <v>94</v>
      </c>
      <c r="B40" s="22" t="s">
        <v>13</v>
      </c>
      <c r="C40" s="28"/>
      <c r="D40" s="28"/>
      <c r="E40" s="28">
        <v>110.2</v>
      </c>
      <c r="F40" s="28">
        <v>104.2</v>
      </c>
      <c r="G40" s="27">
        <v>104.7</v>
      </c>
      <c r="H40" s="28">
        <v>103.7</v>
      </c>
      <c r="I40" s="27">
        <v>104</v>
      </c>
      <c r="J40" s="27">
        <v>104.3</v>
      </c>
      <c r="K40" s="27">
        <v>103.5</v>
      </c>
    </row>
    <row r="41" spans="1:12" ht="18.75" x14ac:dyDescent="0.25">
      <c r="A41" s="4" t="s">
        <v>103</v>
      </c>
      <c r="B41" s="5"/>
      <c r="C41" s="17"/>
      <c r="D41" s="17"/>
      <c r="E41" s="25"/>
      <c r="F41" s="25"/>
      <c r="G41" s="25"/>
      <c r="H41" s="25"/>
      <c r="I41" s="25"/>
      <c r="J41" s="25"/>
      <c r="K41" s="25"/>
    </row>
    <row r="42" spans="1:12" ht="112.5" x14ac:dyDescent="0.25">
      <c r="A42" s="7" t="s">
        <v>10</v>
      </c>
      <c r="B42" s="30" t="s">
        <v>75</v>
      </c>
      <c r="C42" s="15">
        <v>41820</v>
      </c>
      <c r="D42" s="15">
        <v>53600</v>
      </c>
      <c r="E42" s="15">
        <f>D42*E43*E44/10000</f>
        <v>61768.747199999998</v>
      </c>
      <c r="F42" s="15">
        <f>E42*F43%*F44%</f>
        <v>68683.140761568007</v>
      </c>
      <c r="G42" s="15">
        <f>E42*G43%*G44%</f>
        <v>68879.009458939196</v>
      </c>
      <c r="H42" s="15">
        <f>F42*H43%*H44%</f>
        <v>75073.420178024302</v>
      </c>
      <c r="I42" s="15">
        <f>G42*I43%*I44%</f>
        <v>75575.840032594017</v>
      </c>
      <c r="J42" s="15">
        <f>H42*J43%*J44%</f>
        <v>82295.858566251132</v>
      </c>
      <c r="K42" s="15">
        <f>I42*K43%*K44%</f>
        <v>82135.822947423178</v>
      </c>
    </row>
    <row r="43" spans="1:12" ht="93.75" x14ac:dyDescent="0.25">
      <c r="A43" s="7" t="s">
        <v>11</v>
      </c>
      <c r="B43" s="8" t="s">
        <v>12</v>
      </c>
      <c r="C43" s="34">
        <v>61.58</v>
      </c>
      <c r="D43" s="19">
        <v>105.9</v>
      </c>
      <c r="E43" s="19">
        <v>107.4</v>
      </c>
      <c r="F43" s="19">
        <v>104.9</v>
      </c>
      <c r="G43" s="19">
        <v>106.1</v>
      </c>
      <c r="H43" s="19">
        <v>104</v>
      </c>
      <c r="I43" s="19">
        <v>105.3</v>
      </c>
      <c r="J43" s="19">
        <v>104.5</v>
      </c>
      <c r="K43" s="19">
        <v>104.5</v>
      </c>
    </row>
    <row r="44" spans="1:12" ht="56.25" x14ac:dyDescent="0.25">
      <c r="A44" s="7" t="s">
        <v>94</v>
      </c>
      <c r="B44" s="8" t="s">
        <v>95</v>
      </c>
      <c r="C44" s="19">
        <v>113.9</v>
      </c>
      <c r="D44" s="19">
        <v>105.8</v>
      </c>
      <c r="E44" s="19">
        <v>107.3</v>
      </c>
      <c r="F44" s="19">
        <v>106</v>
      </c>
      <c r="G44" s="19">
        <v>105.1</v>
      </c>
      <c r="H44" s="19">
        <v>105.1</v>
      </c>
      <c r="I44" s="19">
        <v>104.2</v>
      </c>
      <c r="J44" s="19">
        <v>104.9</v>
      </c>
      <c r="K44" s="19">
        <v>104</v>
      </c>
    </row>
    <row r="45" spans="1:12" ht="56.25" x14ac:dyDescent="0.25">
      <c r="A45" s="7" t="s">
        <v>104</v>
      </c>
      <c r="B45" s="8" t="s">
        <v>105</v>
      </c>
      <c r="C45" s="10">
        <v>4.5999999999999996</v>
      </c>
      <c r="D45" s="10">
        <v>5.8</v>
      </c>
      <c r="E45" s="10">
        <v>6.8</v>
      </c>
      <c r="F45" s="10">
        <f>E45*F43/100</f>
        <v>7.1332000000000004</v>
      </c>
      <c r="G45" s="10">
        <f>E45*G43/100</f>
        <v>7.2147999999999994</v>
      </c>
      <c r="H45" s="10">
        <f>F45*H43/100</f>
        <v>7.4185280000000002</v>
      </c>
      <c r="I45" s="10">
        <f>G45*I43/100</f>
        <v>7.5971843999999988</v>
      </c>
      <c r="J45" s="10">
        <f>H45*J43/100</f>
        <v>7.7523617600000003</v>
      </c>
      <c r="K45" s="10">
        <f>I45*K43/100</f>
        <v>7.9390576979999992</v>
      </c>
    </row>
    <row r="46" spans="1:12" s="18" customFormat="1" ht="75" x14ac:dyDescent="0.25">
      <c r="A46" s="4" t="s">
        <v>106</v>
      </c>
      <c r="B46" s="5"/>
      <c r="C46" s="35"/>
      <c r="D46" s="35"/>
      <c r="E46" s="10"/>
      <c r="F46" s="10"/>
      <c r="G46" s="10"/>
      <c r="H46" s="10" t="s">
        <v>117</v>
      </c>
      <c r="I46" s="10"/>
      <c r="J46" s="10"/>
      <c r="K46" s="10"/>
    </row>
    <row r="47" spans="1:12" ht="37.5" x14ac:dyDescent="0.25">
      <c r="A47" s="36" t="s">
        <v>1</v>
      </c>
      <c r="B47" s="8" t="s">
        <v>2</v>
      </c>
      <c r="C47" s="13">
        <v>101.5</v>
      </c>
      <c r="D47" s="14">
        <v>123.3</v>
      </c>
      <c r="E47" s="14">
        <v>97.3</v>
      </c>
      <c r="F47" s="14">
        <f>D47*101/100</f>
        <v>124.53299999999999</v>
      </c>
      <c r="G47" s="14">
        <f t="shared" ref="G47:G52" si="5">E47*101.5/100</f>
        <v>98.759499999999989</v>
      </c>
      <c r="H47" s="14">
        <f t="shared" ref="H47:H52" si="6">G47*101.4/100</f>
        <v>100.142133</v>
      </c>
      <c r="I47" s="14">
        <f t="shared" ref="I47:I52" si="7">G47*101.8/100</f>
        <v>100.53717099999999</v>
      </c>
      <c r="J47" s="14">
        <f t="shared" ref="J47:J52" si="8">I47*101.6/100</f>
        <v>102.14576573599997</v>
      </c>
      <c r="K47" s="14">
        <f t="shared" ref="K47:K52" si="9">I47*101.9/100</f>
        <v>102.447377249</v>
      </c>
    </row>
    <row r="48" spans="1:12" ht="18.75" x14ac:dyDescent="0.25">
      <c r="A48" s="36" t="s">
        <v>3</v>
      </c>
      <c r="B48" s="8" t="s">
        <v>2</v>
      </c>
      <c r="C48" s="13">
        <v>15.7</v>
      </c>
      <c r="D48" s="14">
        <v>33</v>
      </c>
      <c r="E48" s="14">
        <v>8.57</v>
      </c>
      <c r="F48" s="14">
        <f>E48*101/100</f>
        <v>8.6557000000000013</v>
      </c>
      <c r="G48" s="14">
        <f t="shared" si="5"/>
        <v>8.6985500000000009</v>
      </c>
      <c r="H48" s="14">
        <f t="shared" si="6"/>
        <v>8.8203297000000003</v>
      </c>
      <c r="I48" s="14">
        <f t="shared" si="7"/>
        <v>8.8551239000000006</v>
      </c>
      <c r="J48" s="14">
        <f t="shared" si="8"/>
        <v>8.9968058824000003</v>
      </c>
      <c r="K48" s="14">
        <f t="shared" si="9"/>
        <v>9.0233712541000006</v>
      </c>
    </row>
    <row r="49" spans="1:11" ht="18.75" x14ac:dyDescent="0.25">
      <c r="A49" s="36" t="s">
        <v>4</v>
      </c>
      <c r="B49" s="8" t="s">
        <v>2</v>
      </c>
      <c r="C49" s="13">
        <v>2.9</v>
      </c>
      <c r="D49" s="14">
        <v>3.8</v>
      </c>
      <c r="E49" s="14">
        <v>2.5</v>
      </c>
      <c r="F49" s="14">
        <f t="shared" ref="F49:F52" si="10">E49*101/100</f>
        <v>2.5249999999999999</v>
      </c>
      <c r="G49" s="14">
        <f t="shared" si="5"/>
        <v>2.5375000000000001</v>
      </c>
      <c r="H49" s="14">
        <f t="shared" si="6"/>
        <v>2.5730249999999999</v>
      </c>
      <c r="I49" s="14">
        <f t="shared" si="7"/>
        <v>2.5831749999999998</v>
      </c>
      <c r="J49" s="14">
        <f t="shared" si="8"/>
        <v>2.6245057999999997</v>
      </c>
      <c r="K49" s="14">
        <f t="shared" si="9"/>
        <v>2.632255325</v>
      </c>
    </row>
    <row r="50" spans="1:11" ht="37.5" x14ac:dyDescent="0.25">
      <c r="A50" s="36" t="s">
        <v>5</v>
      </c>
      <c r="B50" s="8" t="s">
        <v>2</v>
      </c>
      <c r="C50" s="13">
        <v>11</v>
      </c>
      <c r="D50" s="14">
        <v>11.4</v>
      </c>
      <c r="E50" s="14">
        <v>11.6</v>
      </c>
      <c r="F50" s="14">
        <f t="shared" si="10"/>
        <v>11.715999999999999</v>
      </c>
      <c r="G50" s="14">
        <f t="shared" si="5"/>
        <v>11.773999999999999</v>
      </c>
      <c r="H50" s="14">
        <f t="shared" si="6"/>
        <v>11.938835999999998</v>
      </c>
      <c r="I50" s="14">
        <f t="shared" si="7"/>
        <v>11.985931999999998</v>
      </c>
      <c r="J50" s="14">
        <f t="shared" si="8"/>
        <v>12.177706911999996</v>
      </c>
      <c r="K50" s="14">
        <f t="shared" si="9"/>
        <v>12.213664708</v>
      </c>
    </row>
    <row r="51" spans="1:11" ht="18.75" x14ac:dyDescent="0.25">
      <c r="A51" s="36" t="s">
        <v>6</v>
      </c>
      <c r="B51" s="8" t="s">
        <v>2</v>
      </c>
      <c r="C51" s="13">
        <v>13.3</v>
      </c>
      <c r="D51" s="14">
        <v>17.600000000000001</v>
      </c>
      <c r="E51" s="14">
        <v>19.05</v>
      </c>
      <c r="F51" s="14">
        <f t="shared" si="10"/>
        <v>19.240500000000001</v>
      </c>
      <c r="G51" s="14">
        <f t="shared" si="5"/>
        <v>19.335750000000001</v>
      </c>
      <c r="H51" s="14">
        <f t="shared" si="6"/>
        <v>19.606450500000005</v>
      </c>
      <c r="I51" s="14">
        <f t="shared" si="7"/>
        <v>19.6837935</v>
      </c>
      <c r="J51" s="14">
        <f t="shared" si="8"/>
        <v>19.998734195999997</v>
      </c>
      <c r="K51" s="14">
        <f t="shared" si="9"/>
        <v>20.057785576499999</v>
      </c>
    </row>
    <row r="52" spans="1:11" ht="18.75" x14ac:dyDescent="0.25">
      <c r="A52" s="36" t="s">
        <v>7</v>
      </c>
      <c r="B52" s="8" t="s">
        <v>8</v>
      </c>
      <c r="C52" s="13">
        <v>14.5</v>
      </c>
      <c r="D52" s="14">
        <v>13.5</v>
      </c>
      <c r="E52" s="14">
        <v>7.8</v>
      </c>
      <c r="F52" s="14">
        <f t="shared" si="10"/>
        <v>7.8779999999999992</v>
      </c>
      <c r="G52" s="14">
        <f t="shared" si="5"/>
        <v>7.9169999999999989</v>
      </c>
      <c r="H52" s="14">
        <f t="shared" si="6"/>
        <v>8.0278379999999991</v>
      </c>
      <c r="I52" s="14">
        <f t="shared" si="7"/>
        <v>8.0595059999999989</v>
      </c>
      <c r="J52" s="14">
        <f t="shared" si="8"/>
        <v>8.188458095999998</v>
      </c>
      <c r="K52" s="14">
        <f t="shared" si="9"/>
        <v>8.2126366139999991</v>
      </c>
    </row>
    <row r="53" spans="1:11" ht="18.75" x14ac:dyDescent="0.25">
      <c r="A53" s="4" t="s">
        <v>107</v>
      </c>
      <c r="B53" s="5"/>
      <c r="C53" s="17"/>
      <c r="D53" s="17"/>
      <c r="E53" s="25"/>
      <c r="F53" s="25"/>
      <c r="G53" s="25"/>
      <c r="H53" s="25"/>
      <c r="I53" s="25"/>
      <c r="J53" s="25"/>
      <c r="K53" s="25"/>
    </row>
    <row r="54" spans="1:11" ht="75" x14ac:dyDescent="0.25">
      <c r="A54" s="7" t="s">
        <v>52</v>
      </c>
      <c r="B54" s="8" t="s">
        <v>50</v>
      </c>
      <c r="C54" s="10">
        <v>328.47</v>
      </c>
      <c r="D54" s="10">
        <v>327</v>
      </c>
      <c r="E54" s="10">
        <v>327.8</v>
      </c>
      <c r="F54" s="10">
        <v>327.8</v>
      </c>
      <c r="G54" s="10">
        <v>327.8</v>
      </c>
      <c r="H54" s="10">
        <v>327.8</v>
      </c>
      <c r="I54" s="10">
        <v>327.8</v>
      </c>
      <c r="J54" s="10">
        <v>327.8</v>
      </c>
      <c r="K54" s="10">
        <v>327.8</v>
      </c>
    </row>
    <row r="55" spans="1:11" ht="75" x14ac:dyDescent="0.25">
      <c r="A55" s="7" t="s">
        <v>51</v>
      </c>
      <c r="B55" s="8" t="s">
        <v>50</v>
      </c>
      <c r="C55" s="10">
        <v>95.17</v>
      </c>
      <c r="D55" s="10">
        <v>103.2</v>
      </c>
      <c r="E55" s="10">
        <v>111.1</v>
      </c>
      <c r="F55" s="10">
        <v>115</v>
      </c>
      <c r="G55" s="10">
        <v>117</v>
      </c>
      <c r="H55" s="10">
        <v>117</v>
      </c>
      <c r="I55" s="10">
        <v>121</v>
      </c>
      <c r="J55" s="10">
        <v>121</v>
      </c>
      <c r="K55" s="10">
        <v>125</v>
      </c>
    </row>
    <row r="56" spans="1:11" ht="18.75" x14ac:dyDescent="0.25">
      <c r="A56" s="4" t="s">
        <v>108</v>
      </c>
      <c r="B56" s="5"/>
      <c r="C56" s="17"/>
      <c r="D56" s="17"/>
      <c r="E56" s="25"/>
      <c r="F56" s="25"/>
      <c r="G56" s="25"/>
      <c r="H56" s="25"/>
      <c r="I56" s="25"/>
      <c r="J56" s="25"/>
      <c r="K56" s="25"/>
    </row>
    <row r="57" spans="1:11" ht="75" x14ac:dyDescent="0.25">
      <c r="A57" s="7" t="s">
        <v>73</v>
      </c>
      <c r="B57" s="8" t="s">
        <v>46</v>
      </c>
      <c r="C57" s="37">
        <v>819293</v>
      </c>
      <c r="D57" s="37">
        <v>2302701</v>
      </c>
      <c r="E57" s="10">
        <f>D57*E58*E59/10000</f>
        <v>2263534.3586909999</v>
      </c>
      <c r="F57" s="37">
        <f>E57*F58/100*F59/100</f>
        <v>2393248.4586501466</v>
      </c>
      <c r="G57" s="37">
        <f>E57*G58/100*G59/100</f>
        <v>2491331.9294809448</v>
      </c>
      <c r="H57" s="37">
        <f>F57*H58/100*H59/100</f>
        <v>2444176.7858502218</v>
      </c>
      <c r="I57" s="37">
        <f>G57*I58/100*I59/100</f>
        <v>2702073.6973957377</v>
      </c>
      <c r="J57" s="37">
        <f>H57*J58/100*J59/100</f>
        <v>2655964.7043441432</v>
      </c>
      <c r="K57" s="37">
        <f>I57*K58/100*K59/100</f>
        <v>2914056.7831038283</v>
      </c>
    </row>
    <row r="58" spans="1:11" ht="93.75" x14ac:dyDescent="0.25">
      <c r="A58" s="7" t="s">
        <v>19</v>
      </c>
      <c r="B58" s="8" t="s">
        <v>12</v>
      </c>
      <c r="C58" s="53">
        <v>93.89</v>
      </c>
      <c r="D58" s="53">
        <f>D57/C57*100</f>
        <v>281.05952327189414</v>
      </c>
      <c r="E58" s="52">
        <v>90.1</v>
      </c>
      <c r="F58" s="52">
        <v>100.6</v>
      </c>
      <c r="G58" s="52">
        <v>102.1</v>
      </c>
      <c r="H58" s="52">
        <v>98.2</v>
      </c>
      <c r="I58" s="52">
        <v>103</v>
      </c>
      <c r="J58" s="52">
        <v>103</v>
      </c>
      <c r="K58" s="52">
        <v>103.3</v>
      </c>
    </row>
    <row r="59" spans="1:11" ht="18.75" x14ac:dyDescent="0.25">
      <c r="A59" s="7" t="s">
        <v>94</v>
      </c>
      <c r="B59" s="22" t="s">
        <v>13</v>
      </c>
      <c r="C59" s="49"/>
      <c r="D59" s="27"/>
      <c r="E59" s="27">
        <v>109.1</v>
      </c>
      <c r="F59" s="27">
        <v>105.1</v>
      </c>
      <c r="G59" s="27">
        <v>107.8</v>
      </c>
      <c r="H59" s="27">
        <v>104</v>
      </c>
      <c r="I59" s="27">
        <v>105.3</v>
      </c>
      <c r="J59" s="27">
        <v>105.5</v>
      </c>
      <c r="K59" s="27">
        <v>104.4</v>
      </c>
    </row>
    <row r="60" spans="1:11" ht="56.25" x14ac:dyDescent="0.25">
      <c r="A60" s="7" t="s">
        <v>78</v>
      </c>
      <c r="B60" s="8"/>
      <c r="C60" s="25"/>
      <c r="D60" s="25"/>
      <c r="E60" s="25"/>
      <c r="F60" s="25"/>
      <c r="G60" s="25"/>
      <c r="H60" s="25"/>
      <c r="I60" s="25"/>
      <c r="J60" s="25"/>
      <c r="K60" s="25"/>
    </row>
    <row r="61" spans="1:11" ht="75" x14ac:dyDescent="0.25">
      <c r="A61" s="29" t="s">
        <v>53</v>
      </c>
      <c r="B61" s="8" t="s">
        <v>54</v>
      </c>
      <c r="C61" s="38">
        <v>672908</v>
      </c>
      <c r="D61" s="38">
        <v>1580405</v>
      </c>
      <c r="E61" s="38">
        <f t="shared" ref="E61:K61" si="11">E57-E62</f>
        <v>1553523.891355</v>
      </c>
      <c r="F61" s="38">
        <f t="shared" si="11"/>
        <v>1678977.9285101308</v>
      </c>
      <c r="G61" s="38">
        <f t="shared" si="11"/>
        <v>1766411.242330889</v>
      </c>
      <c r="H61" s="38">
        <f t="shared" si="11"/>
        <v>1742763.1252527265</v>
      </c>
      <c r="I61" s="38">
        <f t="shared" si="11"/>
        <v>1955405.3896311803</v>
      </c>
      <c r="J61" s="38">
        <f t="shared" si="11"/>
        <v>1933508.6339287229</v>
      </c>
      <c r="K61" s="38">
        <f t="shared" si="11"/>
        <v>2142748.4211830404</v>
      </c>
    </row>
    <row r="62" spans="1:11" ht="75" x14ac:dyDescent="0.25">
      <c r="A62" s="29" t="s">
        <v>20</v>
      </c>
      <c r="B62" s="8" t="s">
        <v>54</v>
      </c>
      <c r="C62" s="38">
        <v>146385</v>
      </c>
      <c r="D62" s="38">
        <v>722296</v>
      </c>
      <c r="E62" s="38">
        <f>D62*E58*E59/10000</f>
        <v>710010.46733599983</v>
      </c>
      <c r="F62" s="38">
        <f>E62*F58/100</f>
        <v>714270.53014001576</v>
      </c>
      <c r="G62" s="38">
        <f>E62*G58/100</f>
        <v>724920.68715005578</v>
      </c>
      <c r="H62" s="38">
        <f t="shared" ref="H62:K62" si="12">F62*H58/100</f>
        <v>701413.66059749539</v>
      </c>
      <c r="I62" s="38">
        <f t="shared" si="12"/>
        <v>746668.30776455742</v>
      </c>
      <c r="J62" s="38">
        <f t="shared" si="12"/>
        <v>722456.07041542022</v>
      </c>
      <c r="K62" s="38">
        <f t="shared" si="12"/>
        <v>771308.36192078784</v>
      </c>
    </row>
    <row r="63" spans="1:11" ht="18.75" x14ac:dyDescent="0.25">
      <c r="A63" s="29" t="s">
        <v>55</v>
      </c>
      <c r="B63" s="8"/>
      <c r="C63" s="38"/>
      <c r="D63" s="38"/>
      <c r="E63" s="38"/>
      <c r="F63" s="38"/>
      <c r="G63" s="38"/>
      <c r="H63" s="38"/>
      <c r="I63" s="38"/>
      <c r="J63" s="38"/>
      <c r="K63" s="38"/>
    </row>
    <row r="64" spans="1:11" ht="75" x14ac:dyDescent="0.25">
      <c r="A64" s="7" t="s">
        <v>56</v>
      </c>
      <c r="B64" s="8" t="s">
        <v>54</v>
      </c>
      <c r="C64" s="38"/>
      <c r="D64" s="38">
        <f>C64*D58/100</f>
        <v>0</v>
      </c>
      <c r="E64" s="38"/>
      <c r="F64" s="10"/>
      <c r="G64" s="38"/>
      <c r="H64" s="38"/>
      <c r="I64" s="38"/>
      <c r="J64" s="38"/>
      <c r="K64" s="38"/>
    </row>
    <row r="65" spans="1:11" ht="75" x14ac:dyDescent="0.25">
      <c r="A65" s="7" t="s">
        <v>57</v>
      </c>
      <c r="B65" s="8" t="s">
        <v>54</v>
      </c>
      <c r="C65" s="10">
        <v>86246</v>
      </c>
      <c r="D65" s="10">
        <v>700196</v>
      </c>
      <c r="E65" s="10">
        <f>D65*E58/100</f>
        <v>630876.5959999999</v>
      </c>
      <c r="F65" s="10"/>
      <c r="G65" s="38"/>
      <c r="H65" s="38"/>
      <c r="I65" s="38"/>
      <c r="J65" s="38"/>
      <c r="K65" s="38"/>
    </row>
    <row r="66" spans="1:11" ht="18.75" x14ac:dyDescent="0.25">
      <c r="A66" s="7" t="s">
        <v>58</v>
      </c>
      <c r="B66" s="8"/>
      <c r="C66" s="10"/>
      <c r="D66" s="10"/>
      <c r="E66" s="10"/>
      <c r="F66" s="10"/>
      <c r="G66" s="38"/>
      <c r="H66" s="38"/>
      <c r="I66" s="38"/>
      <c r="J66" s="10"/>
      <c r="K66" s="10"/>
    </row>
    <row r="67" spans="1:11" ht="75" x14ac:dyDescent="0.25">
      <c r="A67" s="29" t="s">
        <v>59</v>
      </c>
      <c r="B67" s="8" t="s">
        <v>54</v>
      </c>
      <c r="C67" s="10">
        <v>29702</v>
      </c>
      <c r="D67" s="10">
        <v>668378</v>
      </c>
      <c r="E67" s="10">
        <f>D67*E58/100</f>
        <v>602208.57799999998</v>
      </c>
      <c r="F67" s="10"/>
      <c r="G67" s="38"/>
      <c r="H67" s="38"/>
      <c r="I67" s="38"/>
      <c r="J67" s="38"/>
      <c r="K67" s="38"/>
    </row>
    <row r="68" spans="1:11" ht="75" x14ac:dyDescent="0.25">
      <c r="A68" s="29" t="s">
        <v>74</v>
      </c>
      <c r="B68" s="8" t="s">
        <v>54</v>
      </c>
      <c r="C68" s="10">
        <v>34547</v>
      </c>
      <c r="D68" s="10">
        <v>24971</v>
      </c>
      <c r="E68" s="10">
        <f>D68*E58/100</f>
        <v>22498.870999999996</v>
      </c>
      <c r="F68" s="10"/>
      <c r="G68" s="38"/>
      <c r="H68" s="38"/>
      <c r="I68" s="38"/>
      <c r="J68" s="38"/>
      <c r="K68" s="38"/>
    </row>
    <row r="69" spans="1:11" ht="75" x14ac:dyDescent="0.25">
      <c r="A69" s="29" t="s">
        <v>60</v>
      </c>
      <c r="B69" s="8" t="s">
        <v>54</v>
      </c>
      <c r="C69" s="10">
        <v>21997</v>
      </c>
      <c r="D69" s="10">
        <v>6847</v>
      </c>
      <c r="E69" s="10">
        <f>D69*E58/100</f>
        <v>6169.1469999999999</v>
      </c>
      <c r="F69" s="10"/>
      <c r="G69" s="38"/>
      <c r="H69" s="38"/>
      <c r="I69" s="38"/>
      <c r="J69" s="38"/>
      <c r="K69" s="38"/>
    </row>
    <row r="70" spans="1:11" ht="75" x14ac:dyDescent="0.25">
      <c r="A70" s="29" t="s">
        <v>61</v>
      </c>
      <c r="B70" s="8" t="s">
        <v>46</v>
      </c>
      <c r="C70" s="10">
        <v>7487881</v>
      </c>
      <c r="D70" s="10">
        <v>8875900</v>
      </c>
      <c r="E70" s="10">
        <f>D70*110.2/100</f>
        <v>9781241.8000000007</v>
      </c>
      <c r="F70" s="10">
        <f>E70*111.4/100</f>
        <v>10896303.365200002</v>
      </c>
      <c r="G70" s="10">
        <f>E70*111.6/100</f>
        <v>10915865.848800002</v>
      </c>
      <c r="H70" s="10">
        <f>F70*110.8/100</f>
        <v>12073104.1286416</v>
      </c>
      <c r="I70" s="10">
        <f>G70*111.3/100</f>
        <v>12149358.6897144</v>
      </c>
      <c r="J70" s="10">
        <f>H70/100*110.1</f>
        <v>13292487.645634402</v>
      </c>
      <c r="K70" s="10">
        <f>I70*110.8/100</f>
        <v>13461489.428203555</v>
      </c>
    </row>
    <row r="71" spans="1:11" ht="75" x14ac:dyDescent="0.25">
      <c r="A71" s="4" t="s">
        <v>109</v>
      </c>
      <c r="B71" s="5"/>
      <c r="C71" s="39"/>
      <c r="D71" s="39"/>
      <c r="E71" s="54"/>
      <c r="F71" s="54"/>
      <c r="G71" s="54"/>
      <c r="H71" s="54"/>
      <c r="I71" s="54"/>
      <c r="J71" s="54"/>
      <c r="K71" s="54"/>
    </row>
    <row r="72" spans="1:11" ht="78.75" customHeight="1" x14ac:dyDescent="0.25">
      <c r="A72" s="7" t="s">
        <v>38</v>
      </c>
      <c r="B72" s="8" t="s">
        <v>18</v>
      </c>
      <c r="C72" s="15">
        <v>801</v>
      </c>
      <c r="D72" s="15">
        <v>745</v>
      </c>
      <c r="E72" s="15">
        <v>749</v>
      </c>
      <c r="F72" s="15">
        <v>749</v>
      </c>
      <c r="G72" s="15">
        <v>749</v>
      </c>
      <c r="H72" s="15">
        <v>749</v>
      </c>
      <c r="I72" s="15">
        <v>749</v>
      </c>
      <c r="J72" s="15">
        <v>749</v>
      </c>
      <c r="K72" s="15">
        <v>749</v>
      </c>
    </row>
    <row r="73" spans="1:11" ht="112.5" x14ac:dyDescent="0.25">
      <c r="A73" s="7" t="s">
        <v>40</v>
      </c>
      <c r="B73" s="30" t="s">
        <v>62</v>
      </c>
      <c r="C73" s="15">
        <v>1776</v>
      </c>
      <c r="D73" s="15">
        <v>1771</v>
      </c>
      <c r="E73" s="15">
        <v>1776</v>
      </c>
      <c r="F73" s="15">
        <v>1783</v>
      </c>
      <c r="G73" s="15">
        <v>1786</v>
      </c>
      <c r="H73" s="15">
        <v>1796</v>
      </c>
      <c r="I73" s="15">
        <v>1798</v>
      </c>
      <c r="J73" s="15">
        <v>1805</v>
      </c>
      <c r="K73" s="15">
        <v>1809</v>
      </c>
    </row>
    <row r="74" spans="1:11" ht="75" x14ac:dyDescent="0.25">
      <c r="A74" s="7" t="s">
        <v>39</v>
      </c>
      <c r="B74" s="8" t="s">
        <v>46</v>
      </c>
      <c r="C74" s="15">
        <v>4361828</v>
      </c>
      <c r="D74" s="15">
        <f t="shared" ref="D74:E74" si="13">C74*D75/100</f>
        <v>4549386.6039999994</v>
      </c>
      <c r="E74" s="15">
        <f t="shared" si="13"/>
        <v>4754109.0011799987</v>
      </c>
      <c r="F74" s="15">
        <f t="shared" ref="F74:K74" si="14">E74*F75/100</f>
        <v>4987060.342237819</v>
      </c>
      <c r="G74" s="15">
        <f t="shared" si="14"/>
        <v>5290273.6110458784</v>
      </c>
      <c r="H74" s="15">
        <f t="shared" si="14"/>
        <v>5611393.2192363627</v>
      </c>
      <c r="I74" s="15">
        <f t="shared" si="14"/>
        <v>6004190.7445829082</v>
      </c>
      <c r="J74" s="15">
        <f t="shared" si="14"/>
        <v>6382454.7614916312</v>
      </c>
      <c r="K74" s="15">
        <f t="shared" si="14"/>
        <v>6848373.9590805201</v>
      </c>
    </row>
    <row r="75" spans="1:11" ht="35.25" customHeight="1" x14ac:dyDescent="0.25">
      <c r="A75" s="7"/>
      <c r="B75" s="8" t="s">
        <v>42</v>
      </c>
      <c r="C75" s="32">
        <v>111.5</v>
      </c>
      <c r="D75" s="32">
        <v>104.3</v>
      </c>
      <c r="E75" s="32">
        <v>104.5</v>
      </c>
      <c r="F75" s="32">
        <v>104.9</v>
      </c>
      <c r="G75" s="10">
        <v>106.08</v>
      </c>
      <c r="H75" s="10">
        <v>106.07</v>
      </c>
      <c r="I75" s="10">
        <v>107</v>
      </c>
      <c r="J75" s="10">
        <v>106.3</v>
      </c>
      <c r="K75" s="10">
        <v>107.3</v>
      </c>
    </row>
    <row r="76" spans="1:11" ht="18.75" x14ac:dyDescent="0.25">
      <c r="A76" s="4" t="s">
        <v>110</v>
      </c>
      <c r="B76" s="5"/>
      <c r="C76" s="40"/>
      <c r="D76" s="40"/>
      <c r="E76" s="56"/>
      <c r="F76" s="54"/>
      <c r="G76" s="54"/>
      <c r="H76" s="54"/>
      <c r="I76" s="54"/>
      <c r="J76" s="54"/>
      <c r="K76" s="54"/>
    </row>
    <row r="77" spans="1:11" ht="56.25" x14ac:dyDescent="0.25">
      <c r="A77" s="7" t="s">
        <v>76</v>
      </c>
      <c r="B77" s="8" t="s">
        <v>9</v>
      </c>
      <c r="C77" s="15">
        <v>3400220</v>
      </c>
      <c r="D77" s="15">
        <v>3098333</v>
      </c>
      <c r="E77" s="15">
        <f>D77*1.077</f>
        <v>3336904.6409999998</v>
      </c>
      <c r="F77" s="15">
        <f>E77*1.049</f>
        <v>3500412.9684089995</v>
      </c>
      <c r="G77" s="15">
        <f>E77*1.095</f>
        <v>3653910.5818949998</v>
      </c>
      <c r="H77" s="15">
        <f>F77*1.023</f>
        <v>3580922.4666824061</v>
      </c>
      <c r="I77" s="15">
        <f>G77*1.068</f>
        <v>3902376.5014638603</v>
      </c>
      <c r="J77" s="15">
        <f>H77*1.073</f>
        <v>3842329.8067502216</v>
      </c>
      <c r="K77" s="15">
        <f>I77*1.071</f>
        <v>4179445.2330677942</v>
      </c>
    </row>
    <row r="78" spans="1:11" ht="37.5" x14ac:dyDescent="0.25">
      <c r="A78" s="7" t="s">
        <v>63</v>
      </c>
      <c r="B78" s="8" t="s">
        <v>9</v>
      </c>
      <c r="C78" s="15">
        <v>3400220</v>
      </c>
      <c r="D78" s="15">
        <v>2071400</v>
      </c>
      <c r="E78" s="15">
        <f>D78*1.077</f>
        <v>2230897.7999999998</v>
      </c>
      <c r="F78" s="15">
        <f>E78*104.3%</f>
        <v>2326826.4053999996</v>
      </c>
      <c r="G78" s="15">
        <f>E78*1.085</f>
        <v>2420524.1129999999</v>
      </c>
      <c r="H78" s="15">
        <f>F78*1.019</f>
        <v>2371036.1071025995</v>
      </c>
      <c r="I78" s="15">
        <f>G78*1.066</f>
        <v>2580278.7044580001</v>
      </c>
      <c r="J78" s="15">
        <f>H78*1.07</f>
        <v>2537008.6345997816</v>
      </c>
      <c r="K78" s="15">
        <f>I78*1.075</f>
        <v>2773799.6072923499</v>
      </c>
    </row>
    <row r="79" spans="1:11" ht="37.5" x14ac:dyDescent="0.25">
      <c r="A79" s="7" t="s">
        <v>79</v>
      </c>
      <c r="B79" s="8" t="s">
        <v>9</v>
      </c>
      <c r="C79" s="15">
        <v>0</v>
      </c>
      <c r="D79" s="15">
        <f>C79*0.841</f>
        <v>0</v>
      </c>
      <c r="E79" s="15"/>
      <c r="F79" s="15">
        <f>E79*1.001</f>
        <v>0</v>
      </c>
      <c r="G79" s="15">
        <f>E79*1.025</f>
        <v>0</v>
      </c>
      <c r="H79" s="15">
        <f>F79*1.08</f>
        <v>0</v>
      </c>
      <c r="I79" s="15">
        <f>G79*1.112</f>
        <v>0</v>
      </c>
      <c r="J79" s="15">
        <f>H79*1.076</f>
        <v>0</v>
      </c>
      <c r="K79" s="15">
        <f>I79*1.075</f>
        <v>0</v>
      </c>
    </row>
    <row r="80" spans="1:11" s="18" customFormat="1" ht="56.25" x14ac:dyDescent="0.25">
      <c r="A80" s="4" t="s">
        <v>111</v>
      </c>
      <c r="B80" s="5"/>
      <c r="C80" s="41"/>
      <c r="D80" s="41"/>
      <c r="E80" s="55"/>
      <c r="F80" s="25"/>
      <c r="G80" s="25"/>
      <c r="H80" s="25"/>
      <c r="I80" s="25"/>
      <c r="J80" s="25"/>
      <c r="K80" s="25"/>
    </row>
    <row r="81" spans="1:11" ht="58.5" x14ac:dyDescent="0.25">
      <c r="A81" s="42" t="s">
        <v>96</v>
      </c>
      <c r="B81" s="8" t="s">
        <v>97</v>
      </c>
      <c r="C81" s="14">
        <f t="shared" ref="C81" si="15">C82+C85</f>
        <v>679939</v>
      </c>
      <c r="D81" s="14">
        <v>780267.4</v>
      </c>
      <c r="E81" s="14">
        <v>925784.4</v>
      </c>
      <c r="F81" s="14"/>
      <c r="G81" s="14">
        <v>816363.4</v>
      </c>
      <c r="H81" s="14"/>
      <c r="I81" s="14">
        <v>752144.6</v>
      </c>
      <c r="J81" s="14"/>
      <c r="K81" s="14">
        <v>722059.8</v>
      </c>
    </row>
    <row r="82" spans="1:11" ht="37.5" x14ac:dyDescent="0.25">
      <c r="A82" s="36" t="s">
        <v>98</v>
      </c>
      <c r="B82" s="8" t="s">
        <v>97</v>
      </c>
      <c r="C82" s="14">
        <f>C83+C84</f>
        <v>234499.5</v>
      </c>
      <c r="D82" s="14">
        <v>287348.2</v>
      </c>
      <c r="E82" s="14">
        <v>316131.8</v>
      </c>
      <c r="F82" s="14"/>
      <c r="G82" s="14">
        <v>331884.3</v>
      </c>
      <c r="H82" s="14"/>
      <c r="I82" s="14">
        <v>296210.3</v>
      </c>
      <c r="J82" s="14"/>
      <c r="K82" s="14">
        <v>262315.3</v>
      </c>
    </row>
    <row r="83" spans="1:11" ht="18.75" x14ac:dyDescent="0.25">
      <c r="A83" s="36" t="s">
        <v>100</v>
      </c>
      <c r="B83" s="8" t="s">
        <v>97</v>
      </c>
      <c r="C83" s="14">
        <v>197835.1</v>
      </c>
      <c r="D83" s="14">
        <v>270017.5</v>
      </c>
      <c r="E83" s="14">
        <v>290413.40000000002</v>
      </c>
      <c r="F83" s="14"/>
      <c r="G83" s="14">
        <v>301528</v>
      </c>
      <c r="H83" s="14"/>
      <c r="I83" s="14">
        <v>271789</v>
      </c>
      <c r="J83" s="14"/>
      <c r="K83" s="14">
        <v>238182</v>
      </c>
    </row>
    <row r="84" spans="1:11" ht="18.75" x14ac:dyDescent="0.25">
      <c r="A84" s="36" t="s">
        <v>99</v>
      </c>
      <c r="B84" s="8" t="s">
        <v>97</v>
      </c>
      <c r="C84" s="14">
        <v>36664.400000000001</v>
      </c>
      <c r="D84" s="14">
        <v>17330.599999999999</v>
      </c>
      <c r="E84" s="14">
        <v>25718.400000000001</v>
      </c>
      <c r="F84" s="14"/>
      <c r="G84" s="14">
        <v>30356.3</v>
      </c>
      <c r="H84" s="14"/>
      <c r="I84" s="14">
        <v>24421.3</v>
      </c>
      <c r="J84" s="14"/>
      <c r="K84" s="14">
        <v>24133.3</v>
      </c>
    </row>
    <row r="85" spans="1:11" ht="37.5" x14ac:dyDescent="0.25">
      <c r="A85" s="36" t="s">
        <v>101</v>
      </c>
      <c r="B85" s="8" t="s">
        <v>97</v>
      </c>
      <c r="C85" s="14">
        <v>445439.5</v>
      </c>
      <c r="D85" s="14">
        <v>492919.2</v>
      </c>
      <c r="E85" s="14">
        <v>609652.80000000005</v>
      </c>
      <c r="F85" s="14"/>
      <c r="G85" s="14">
        <v>484473.1</v>
      </c>
      <c r="H85" s="14"/>
      <c r="I85" s="14">
        <v>455934.3</v>
      </c>
      <c r="J85" s="14"/>
      <c r="K85" s="14">
        <v>459744.5</v>
      </c>
    </row>
    <row r="86" spans="1:11" ht="58.5" x14ac:dyDescent="0.25">
      <c r="A86" s="43" t="s">
        <v>114</v>
      </c>
      <c r="B86" s="8" t="s">
        <v>97</v>
      </c>
      <c r="C86" s="14">
        <v>661562.19999999995</v>
      </c>
      <c r="D86" s="14">
        <v>735870.1</v>
      </c>
      <c r="E86" s="14">
        <v>977401</v>
      </c>
      <c r="F86" s="14"/>
      <c r="G86" s="14">
        <v>816363.4</v>
      </c>
      <c r="H86" s="14"/>
      <c r="I86" s="14">
        <v>752144.6</v>
      </c>
      <c r="J86" s="14"/>
      <c r="K86" s="14">
        <v>722059.8</v>
      </c>
    </row>
    <row r="87" spans="1:11" ht="36" customHeight="1" x14ac:dyDescent="0.25">
      <c r="A87" s="43" t="s">
        <v>115</v>
      </c>
      <c r="B87" s="8" t="s">
        <v>97</v>
      </c>
      <c r="C87" s="14">
        <f>C81-C86</f>
        <v>18376.800000000047</v>
      </c>
      <c r="D87" s="14">
        <f>D81-D86</f>
        <v>44397.300000000047</v>
      </c>
      <c r="E87" s="14">
        <f>E81-E86</f>
        <v>-51616.599999999977</v>
      </c>
      <c r="F87" s="14"/>
      <c r="G87" s="14">
        <v>0</v>
      </c>
      <c r="H87" s="14"/>
      <c r="I87" s="14">
        <v>0</v>
      </c>
      <c r="J87" s="14"/>
      <c r="K87" s="14">
        <v>0</v>
      </c>
    </row>
    <row r="88" spans="1:11" ht="58.5" customHeight="1" x14ac:dyDescent="0.25">
      <c r="A88" s="43" t="s">
        <v>102</v>
      </c>
      <c r="B88" s="8" t="s">
        <v>97</v>
      </c>
      <c r="C88" s="44"/>
      <c r="D88" s="44"/>
      <c r="E88" s="44"/>
      <c r="F88" s="44"/>
      <c r="G88" s="44"/>
      <c r="H88" s="44"/>
      <c r="I88" s="44"/>
      <c r="J88" s="44"/>
      <c r="K88" s="44"/>
    </row>
    <row r="89" spans="1:11" s="18" customFormat="1" ht="18.75" x14ac:dyDescent="0.25">
      <c r="A89" s="4" t="s">
        <v>112</v>
      </c>
      <c r="B89" s="5"/>
      <c r="C89" s="17"/>
      <c r="D89" s="17"/>
      <c r="E89" s="25"/>
      <c r="F89" s="25"/>
      <c r="G89" s="25"/>
      <c r="H89" s="25"/>
      <c r="I89" s="25"/>
      <c r="J89" s="25"/>
      <c r="K89" s="25"/>
    </row>
    <row r="90" spans="1:11" ht="18.75" x14ac:dyDescent="0.25">
      <c r="A90" s="29" t="s">
        <v>93</v>
      </c>
      <c r="B90" s="45" t="s">
        <v>62</v>
      </c>
      <c r="C90" s="15">
        <v>15000</v>
      </c>
      <c r="D90" s="15">
        <v>14600</v>
      </c>
      <c r="E90" s="15">
        <v>14600</v>
      </c>
      <c r="F90" s="15">
        <f>E90*0.98927613941</f>
        <v>14443.431635386001</v>
      </c>
      <c r="G90" s="15">
        <f>E90*0.98918918918</f>
        <v>14442.162162028</v>
      </c>
      <c r="H90" s="15">
        <f>F90*0.98915989159</f>
        <v>14286.863270645992</v>
      </c>
      <c r="I90" s="15">
        <f>G90*0.98918918918</f>
        <v>14286.030679062553</v>
      </c>
      <c r="J90" s="15">
        <f>H90*0.98904109589</f>
        <v>14130.294906030302</v>
      </c>
      <c r="K90" s="15">
        <f>I90*0.99180327868</f>
        <v>14168.932066817306</v>
      </c>
    </row>
    <row r="91" spans="1:11" ht="56.25" x14ac:dyDescent="0.25">
      <c r="A91" s="29" t="s">
        <v>64</v>
      </c>
      <c r="B91" s="45" t="s">
        <v>62</v>
      </c>
      <c r="C91" s="15">
        <f t="shared" ref="C91:D91" si="16">C90-C92</f>
        <v>14896</v>
      </c>
      <c r="D91" s="15">
        <f t="shared" si="16"/>
        <v>14503</v>
      </c>
      <c r="E91" s="15">
        <v>14496</v>
      </c>
      <c r="F91" s="15">
        <f t="shared" ref="F91:K91" si="17">F90-F92</f>
        <v>14359.0198706806</v>
      </c>
      <c r="G91" s="15">
        <f t="shared" si="17"/>
        <v>14360.162162028</v>
      </c>
      <c r="H91" s="15">
        <f t="shared" si="17"/>
        <v>14202.451505940591</v>
      </c>
      <c r="I91" s="15">
        <f t="shared" si="17"/>
        <v>14204.030679062553</v>
      </c>
      <c r="J91" s="15">
        <f t="shared" si="17"/>
        <v>14045.883141324901</v>
      </c>
      <c r="K91" s="15">
        <f t="shared" si="17"/>
        <v>14086.932066817306</v>
      </c>
    </row>
    <row r="92" spans="1:11" ht="69.75" customHeight="1" x14ac:dyDescent="0.25">
      <c r="A92" s="29" t="s">
        <v>87</v>
      </c>
      <c r="B92" s="8" t="s">
        <v>62</v>
      </c>
      <c r="C92" s="15">
        <v>104</v>
      </c>
      <c r="D92" s="15">
        <v>97</v>
      </c>
      <c r="E92" s="15">
        <v>82</v>
      </c>
      <c r="F92" s="15">
        <f>E92*1.0294117647</f>
        <v>84.411764705400003</v>
      </c>
      <c r="G92" s="15">
        <f>E92*1</f>
        <v>82</v>
      </c>
      <c r="H92" s="15">
        <f>F92*1</f>
        <v>84.411764705400003</v>
      </c>
      <c r="I92" s="15">
        <f>G92*1</f>
        <v>82</v>
      </c>
      <c r="J92" s="15">
        <f>H92*1</f>
        <v>84.411764705400003</v>
      </c>
      <c r="K92" s="15">
        <f>I92*1</f>
        <v>82</v>
      </c>
    </row>
    <row r="93" spans="1:11" ht="37.5" x14ac:dyDescent="0.25">
      <c r="A93" s="29" t="s">
        <v>92</v>
      </c>
      <c r="B93" s="8" t="s">
        <v>88</v>
      </c>
      <c r="C93" s="46">
        <f>C92/C90*100</f>
        <v>0.69333333333333336</v>
      </c>
      <c r="D93" s="46">
        <f>D92/D90*100</f>
        <v>0.66438356164383561</v>
      </c>
      <c r="E93" s="46">
        <v>0.6</v>
      </c>
      <c r="F93" s="46">
        <v>1</v>
      </c>
      <c r="G93" s="46">
        <f>G92/G90*100</f>
        <v>0.56778201961752095</v>
      </c>
      <c r="H93" s="46">
        <v>1</v>
      </c>
      <c r="I93" s="46">
        <f>I92/I90*100</f>
        <v>0.57398728759681505</v>
      </c>
      <c r="J93" s="46">
        <v>1</v>
      </c>
      <c r="K93" s="46">
        <f>K92/K90*100</f>
        <v>0.57873098419349844</v>
      </c>
    </row>
    <row r="94" spans="1:11" ht="54.75" customHeight="1" x14ac:dyDescent="0.25">
      <c r="A94" s="29" t="s">
        <v>77</v>
      </c>
      <c r="B94" s="8" t="s">
        <v>62</v>
      </c>
      <c r="C94" s="15">
        <v>6460</v>
      </c>
      <c r="D94" s="15">
        <v>6471</v>
      </c>
      <c r="E94" s="15">
        <v>6552</v>
      </c>
      <c r="F94" s="15">
        <f>E94*1.001</f>
        <v>6558.5519999999997</v>
      </c>
      <c r="G94" s="15">
        <f>E94*1.0032</f>
        <v>6572.9664000000002</v>
      </c>
      <c r="H94" s="15">
        <f>F94*1.005</f>
        <v>6591.344759999999</v>
      </c>
      <c r="I94" s="15">
        <f>G94*1.01</f>
        <v>6638.6960640000007</v>
      </c>
      <c r="J94" s="15">
        <f>H94*1.005</f>
        <v>6624.3014837999981</v>
      </c>
      <c r="K94" s="15">
        <f>J94</f>
        <v>6624.3014837999981</v>
      </c>
    </row>
    <row r="95" spans="1:11" ht="93.75" x14ac:dyDescent="0.25">
      <c r="A95" s="29" t="s">
        <v>66</v>
      </c>
      <c r="B95" s="22" t="s">
        <v>67</v>
      </c>
      <c r="C95" s="10">
        <v>39889.800000000003</v>
      </c>
      <c r="D95" s="10">
        <v>56291.1</v>
      </c>
      <c r="E95" s="10">
        <f>D95*E96/100</f>
        <v>66367.206900000005</v>
      </c>
      <c r="F95" s="10">
        <f>E95*F96/100</f>
        <v>73800.334072800004</v>
      </c>
      <c r="G95" s="10">
        <f>E95*G96/100</f>
        <v>75260.412624600009</v>
      </c>
      <c r="H95" s="10">
        <f>F95*H96/100</f>
        <v>80220.9631371336</v>
      </c>
      <c r="I95" s="10">
        <f>G95*I96/100</f>
        <v>83162.755950183011</v>
      </c>
      <c r="J95" s="10">
        <f>H95*J96/100</f>
        <v>86718.861151241421</v>
      </c>
      <c r="K95" s="10">
        <f>I95*K96/100</f>
        <v>90065.264694048208</v>
      </c>
    </row>
    <row r="96" spans="1:11" ht="56.25" x14ac:dyDescent="0.25">
      <c r="A96" s="29"/>
      <c r="B96" s="22" t="s">
        <v>42</v>
      </c>
      <c r="C96" s="64">
        <v>133.94</v>
      </c>
      <c r="D96" s="64">
        <f>D95/C95*100</f>
        <v>141.11652602921046</v>
      </c>
      <c r="E96" s="64">
        <v>117.9</v>
      </c>
      <c r="F96" s="64">
        <v>111.2</v>
      </c>
      <c r="G96" s="64">
        <v>113.4</v>
      </c>
      <c r="H96" s="64">
        <v>108.7</v>
      </c>
      <c r="I96" s="64">
        <v>110.5</v>
      </c>
      <c r="J96" s="64">
        <v>108.1</v>
      </c>
      <c r="K96" s="64">
        <v>108.3</v>
      </c>
    </row>
    <row r="97" spans="1:11" ht="76.5" customHeight="1" x14ac:dyDescent="0.25">
      <c r="A97" s="7" t="s">
        <v>65</v>
      </c>
      <c r="B97" s="8" t="s">
        <v>9</v>
      </c>
      <c r="C97" s="15">
        <v>3494000</v>
      </c>
      <c r="D97" s="15">
        <v>4771000</v>
      </c>
      <c r="E97" s="15">
        <v>5623000</v>
      </c>
      <c r="F97" s="15">
        <f>E97*105.2%</f>
        <v>5915396</v>
      </c>
      <c r="G97" s="15">
        <v>6096000</v>
      </c>
      <c r="H97" s="15">
        <f>F97*105.3/100</f>
        <v>6228911.9879999999</v>
      </c>
      <c r="I97" s="15">
        <v>6565000</v>
      </c>
      <c r="J97" s="15">
        <f>H97*107.3/100</f>
        <v>6683622.5631240001</v>
      </c>
      <c r="K97" s="15">
        <v>7051000</v>
      </c>
    </row>
    <row r="98" spans="1:11" ht="93.75" x14ac:dyDescent="0.25">
      <c r="A98" s="29" t="s">
        <v>68</v>
      </c>
      <c r="B98" s="22" t="s">
        <v>67</v>
      </c>
      <c r="C98" s="10">
        <v>52850.879999999997</v>
      </c>
      <c r="D98" s="9">
        <v>83045.95</v>
      </c>
      <c r="E98" s="10">
        <f>D98*E99/100</f>
        <v>97911.175050000005</v>
      </c>
      <c r="F98" s="10">
        <f>E98*F99/100</f>
        <v>108877.22665560001</v>
      </c>
      <c r="G98" s="10">
        <f>E98*G99/100</f>
        <v>111031.27250670001</v>
      </c>
      <c r="H98" s="10">
        <f>F98*H99/100</f>
        <v>118349.54537463721</v>
      </c>
      <c r="I98" s="10">
        <f>G98*I99/100</f>
        <v>122689.55611990351</v>
      </c>
      <c r="J98" s="10">
        <f>H98*J99/100</f>
        <v>127935.85854998282</v>
      </c>
      <c r="K98" s="10">
        <f>I98*K99/100</f>
        <v>132872.78927785551</v>
      </c>
    </row>
    <row r="99" spans="1:11" ht="56.25" x14ac:dyDescent="0.25">
      <c r="A99" s="29"/>
      <c r="B99" s="22" t="s">
        <v>42</v>
      </c>
      <c r="C99" s="10">
        <v>137.1</v>
      </c>
      <c r="D99" s="10">
        <f>D98/C98*100</f>
        <v>157.13257754648552</v>
      </c>
      <c r="E99" s="10">
        <v>117.9</v>
      </c>
      <c r="F99" s="14">
        <v>111.2</v>
      </c>
      <c r="G99" s="10">
        <v>113.4</v>
      </c>
      <c r="H99" s="10">
        <v>108.7</v>
      </c>
      <c r="I99" s="10">
        <v>110.5</v>
      </c>
      <c r="J99" s="10">
        <v>108.1</v>
      </c>
      <c r="K99" s="10">
        <v>108.3</v>
      </c>
    </row>
    <row r="100" spans="1:11" ht="56.25" x14ac:dyDescent="0.25">
      <c r="A100" s="29" t="s">
        <v>69</v>
      </c>
      <c r="B100" s="8" t="s">
        <v>67</v>
      </c>
      <c r="C100" s="47">
        <v>11934</v>
      </c>
      <c r="D100" s="47">
        <v>13560</v>
      </c>
      <c r="E100" s="47">
        <v>14217</v>
      </c>
      <c r="F100" s="47">
        <f>1.148*E100</f>
        <v>16321.115999999998</v>
      </c>
      <c r="G100" s="47">
        <f>1.148*E100</f>
        <v>16321.115999999998</v>
      </c>
      <c r="H100" s="47">
        <f>1.037*F100</f>
        <v>16924.997291999996</v>
      </c>
      <c r="I100" s="47">
        <f>1.045*G100</f>
        <v>17055.566219999997</v>
      </c>
      <c r="J100" s="47">
        <f>1.044*H100</f>
        <v>17669.697172847998</v>
      </c>
      <c r="K100" s="47">
        <f>1.04*I100</f>
        <v>17737.788868799998</v>
      </c>
    </row>
    <row r="101" spans="1:11" s="18" customFormat="1" ht="30.75" customHeight="1" x14ac:dyDescent="0.25">
      <c r="A101" s="4" t="s">
        <v>113</v>
      </c>
      <c r="B101" s="48"/>
      <c r="C101" s="39"/>
      <c r="D101" s="39"/>
      <c r="E101" s="54"/>
      <c r="F101" s="54"/>
      <c r="G101" s="54"/>
      <c r="H101" s="54"/>
      <c r="I101" s="54"/>
      <c r="J101" s="54"/>
      <c r="K101" s="54"/>
    </row>
    <row r="102" spans="1:11" ht="75" x14ac:dyDescent="0.25">
      <c r="A102" s="29" t="s">
        <v>14</v>
      </c>
      <c r="B102" s="22" t="s">
        <v>46</v>
      </c>
      <c r="C102" s="15">
        <v>3272400</v>
      </c>
      <c r="D102" s="15">
        <v>3606300</v>
      </c>
      <c r="E102" s="15">
        <f>D102*E103*E104/10000</f>
        <v>4097333.8080000002</v>
      </c>
      <c r="F102" s="15">
        <f>E102*F103/100*F104/100</f>
        <v>4573362.0498134401</v>
      </c>
      <c r="G102" s="15">
        <f>E102*G103/100*G104/100</f>
        <v>4651211.3921654401</v>
      </c>
      <c r="H102" s="15">
        <f>F102*H103/100*H104/100</f>
        <v>5003495.8973224936</v>
      </c>
      <c r="I102" s="15">
        <f>G102*I103/100*I104/100</f>
        <v>5157007.3750064708</v>
      </c>
      <c r="J102" s="15">
        <f t="shared" ref="J102:K102" si="18">H102*J103/100*J104/100</f>
        <v>5374505.1181089571</v>
      </c>
      <c r="K102" s="15">
        <f t="shared" si="18"/>
        <v>5588550.9091543863</v>
      </c>
    </row>
    <row r="103" spans="1:11" ht="93.75" x14ac:dyDescent="0.25">
      <c r="A103" s="29" t="s">
        <v>70</v>
      </c>
      <c r="B103" s="22" t="s">
        <v>47</v>
      </c>
      <c r="C103" s="49">
        <v>118.54</v>
      </c>
      <c r="D103" s="28">
        <f>D102/D104/C102*10000</f>
        <v>105.45791421247388</v>
      </c>
      <c r="E103" s="27">
        <v>105.2</v>
      </c>
      <c r="F103" s="27">
        <v>106</v>
      </c>
      <c r="G103" s="27">
        <v>107.6</v>
      </c>
      <c r="H103" s="27">
        <v>103.8</v>
      </c>
      <c r="I103" s="27">
        <v>106.1</v>
      </c>
      <c r="J103" s="27">
        <v>102.3</v>
      </c>
      <c r="K103" s="27">
        <v>104.1</v>
      </c>
    </row>
    <row r="104" spans="1:11" ht="37.5" x14ac:dyDescent="0.25">
      <c r="A104" s="7" t="s">
        <v>15</v>
      </c>
      <c r="B104" s="22" t="s">
        <v>13</v>
      </c>
      <c r="C104" s="27"/>
      <c r="D104" s="27">
        <v>104.5</v>
      </c>
      <c r="E104" s="28">
        <v>108</v>
      </c>
      <c r="F104" s="27">
        <v>105.3</v>
      </c>
      <c r="G104" s="27">
        <v>105.5</v>
      </c>
      <c r="H104" s="27">
        <v>105.4</v>
      </c>
      <c r="I104" s="27">
        <v>104.5</v>
      </c>
      <c r="J104" s="27">
        <v>105</v>
      </c>
      <c r="K104" s="27">
        <v>104.1</v>
      </c>
    </row>
    <row r="105" spans="1:11" ht="75" x14ac:dyDescent="0.25">
      <c r="A105" s="29" t="s">
        <v>16</v>
      </c>
      <c r="B105" s="22" t="s">
        <v>46</v>
      </c>
      <c r="C105" s="10">
        <v>1279000</v>
      </c>
      <c r="D105" s="10">
        <v>1424500</v>
      </c>
      <c r="E105" s="15">
        <f>D105*E106*E107/10000</f>
        <v>1601357.3729999999</v>
      </c>
      <c r="F105" s="10">
        <f>E105*F106/100*F107/100</f>
        <v>1785153.165486075</v>
      </c>
      <c r="G105" s="10">
        <f>E105*G106/100*G107/100</f>
        <v>1838447.940216888</v>
      </c>
      <c r="H105" s="10">
        <f>E105*H106/100*H107/100</f>
        <v>1718704.84129344</v>
      </c>
      <c r="I105" s="10">
        <f>F105*I106/100*I107/100</f>
        <v>1953162.8556557971</v>
      </c>
      <c r="J105" s="10">
        <f>G105*J106/100*J107/100</f>
        <v>1974768.8549839703</v>
      </c>
      <c r="K105" s="10">
        <f>H105*K106/100*K107/100</f>
        <v>1841035.3770773418</v>
      </c>
    </row>
    <row r="106" spans="1:11" ht="93.75" x14ac:dyDescent="0.25">
      <c r="A106" s="29" t="s">
        <v>71</v>
      </c>
      <c r="B106" s="22" t="s">
        <v>47</v>
      </c>
      <c r="C106" s="49">
        <v>109.66</v>
      </c>
      <c r="D106" s="51">
        <f>D105/D107/C105*10000</f>
        <v>101.34310742369387</v>
      </c>
      <c r="E106" s="27">
        <v>103.8</v>
      </c>
      <c r="F106" s="28">
        <v>103.7</v>
      </c>
      <c r="G106" s="28">
        <v>106.4</v>
      </c>
      <c r="H106" s="28">
        <v>103.2</v>
      </c>
      <c r="I106" s="28">
        <v>104.7</v>
      </c>
      <c r="J106" s="28">
        <v>102.3</v>
      </c>
      <c r="K106" s="28">
        <v>102.8</v>
      </c>
    </row>
    <row r="107" spans="1:11" ht="37.5" x14ac:dyDescent="0.25">
      <c r="A107" s="7" t="s">
        <v>17</v>
      </c>
      <c r="B107" s="22" t="s">
        <v>13</v>
      </c>
      <c r="C107" s="27"/>
      <c r="D107" s="27">
        <v>109.9</v>
      </c>
      <c r="E107" s="27">
        <v>108.3</v>
      </c>
      <c r="F107" s="27">
        <v>107.5</v>
      </c>
      <c r="G107" s="27">
        <v>107.9</v>
      </c>
      <c r="H107" s="27">
        <v>104</v>
      </c>
      <c r="I107" s="27">
        <v>104.5</v>
      </c>
      <c r="J107" s="27">
        <v>105</v>
      </c>
      <c r="K107" s="27">
        <v>104.2</v>
      </c>
    </row>
    <row r="109" spans="1:11" ht="47.25" customHeight="1" x14ac:dyDescent="0.25">
      <c r="A109" s="65" t="s">
        <v>116</v>
      </c>
      <c r="B109" s="66"/>
      <c r="C109" s="66"/>
      <c r="D109" s="66"/>
      <c r="E109" s="66"/>
      <c r="F109" s="66"/>
    </row>
  </sheetData>
  <mergeCells count="13">
    <mergeCell ref="A109:F109"/>
    <mergeCell ref="A2:K2"/>
    <mergeCell ref="A3:K3"/>
    <mergeCell ref="A4:K4"/>
    <mergeCell ref="A7:A10"/>
    <mergeCell ref="B7:B10"/>
    <mergeCell ref="D8:D10"/>
    <mergeCell ref="E8:E10"/>
    <mergeCell ref="C8:C10"/>
    <mergeCell ref="A5:K5"/>
    <mergeCell ref="F8:G8"/>
    <mergeCell ref="H8:I8"/>
    <mergeCell ref="J8:K8"/>
  </mergeCells>
  <phoneticPr fontId="1" type="noConversion"/>
  <pageMargins left="0.19685039370078741" right="0.19685039370078741" top="0.39370078740157483" bottom="0.19685039370078741" header="0" footer="0"/>
  <pageSetup paperSize="9" scale="74" fitToHeight="0" orientation="landscape" r:id="rId1"/>
  <headerFooter alignWithMargins="0"/>
  <rowBreaks count="1" manualBreakCount="1">
    <brk id="7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xSplit="2" ySplit="1" topLeftCell="C2" activePane="bottomRight" state="frozen"/>
      <selection pane="topRight" activeCell="C1" sqref="C1"/>
      <selection pane="bottomLeft" activeCell="A11" sqref="A11"/>
      <selection pane="bottomRight"/>
    </sheetView>
  </sheetViews>
  <sheetFormatPr defaultRowHeight="12.75" x14ac:dyDescent="0.2"/>
  <cols>
    <col min="1" max="1" width="43.42578125" customWidth="1"/>
    <col min="2" max="2" width="19" customWidth="1"/>
    <col min="3" max="3" width="14" customWidth="1"/>
    <col min="4" max="4" width="15.85546875" customWidth="1"/>
    <col min="5" max="5" width="11.42578125" customWidth="1"/>
    <col min="6" max="6" width="19.85546875" customWidth="1"/>
  </cols>
  <sheetData/>
  <phoneticPr fontId="1" type="noConversion"/>
  <pageMargins left="0.37" right="0.19" top="0.56000000000000005" bottom="0.43" header="0.37" footer="0.28000000000000003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Форма</vt:lpstr>
      <vt:lpstr>Лист2</vt:lpstr>
      <vt:lpstr>Лист3</vt:lpstr>
      <vt:lpstr>Форма!Заголовки_для_печати</vt:lpstr>
      <vt:lpstr>Форма!Область_печати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EKONOMIKA-1</cp:lastModifiedBy>
  <cp:lastPrinted>2024-10-03T07:51:34Z</cp:lastPrinted>
  <dcterms:created xsi:type="dcterms:W3CDTF">2013-05-25T16:45:04Z</dcterms:created>
  <dcterms:modified xsi:type="dcterms:W3CDTF">2024-11-05T09:55:22Z</dcterms:modified>
</cp:coreProperties>
</file>